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defaultThemeVersion="124226"/>
  <mc:AlternateContent xmlns:mc="http://schemas.openxmlformats.org/markup-compatibility/2006">
    <mc:Choice Requires="x15">
      <x15ac:absPath xmlns:x15ac="http://schemas.microsoft.com/office/spreadsheetml/2010/11/ac" url="C:\Users\17349\Documents\Nova Northstar\Battelle\"/>
    </mc:Choice>
  </mc:AlternateContent>
  <xr:revisionPtr revIDLastSave="0" documentId="13_ncr:1_{E3EA63CF-645A-4B97-A274-D831E613B4F6}" xr6:coauthVersionLast="45" xr6:coauthVersionMax="45" xr10:uidLastSave="{00000000-0000-0000-0000-000000000000}"/>
  <bookViews>
    <workbookView xWindow="-108" yWindow="-108" windowWidth="23256" windowHeight="12576" firstSheet="9" activeTab="10" xr2:uid="{00000000-000D-0000-FFFF-FFFF00000000}"/>
  </bookViews>
  <sheets>
    <sheet name="Instructions" sheetId="11" r:id="rId1"/>
    <sheet name="Safety - Surface Release" sheetId="1" r:id="rId2"/>
    <sheet name="Safety - SurfaceFire Calc" sheetId="9" r:id="rId3"/>
    <sheet name="Safety - SubSurface Release" sheetId="5" r:id="rId4"/>
    <sheet name="Safety - SubSurface ReleaseCalc" sheetId="7" r:id="rId5"/>
    <sheet name=" Safety-Subsurf-Rls AltDist" sheetId="17" r:id="rId6"/>
    <sheet name="Environmental" sheetId="4" r:id="rId7"/>
    <sheet name="Environmental COFcalc" sheetId="2" r:id="rId8"/>
    <sheet name="Svc-Reliability-Finan COFcalc" sheetId="6" r:id="rId9"/>
    <sheet name="COFCases - Base Examples - TP" sheetId="13" r:id="rId10"/>
    <sheet name="COFCases-BaseEx-RiskRed-TP" sheetId="15" r:id="rId11"/>
    <sheet name="COFCases-Inverted Expl-TP" sheetId="30" r:id="rId12"/>
    <sheet name="COFCases-InvertEx-RiskRed-TP" sheetId="32" r:id="rId13"/>
    <sheet name="COFCases-Mixed Expl - TP" sheetId="31" r:id="rId14"/>
    <sheet name="COFCases-MixedEx-RiskRed-TP" sheetId="33" r:id="rId15"/>
  </sheets>
  <definedNames>
    <definedName name="_Toc374453103" localSheetId="6">Environmental!$F$181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29" i="17" l="1"/>
  <c r="L30" i="17"/>
  <c r="L31" i="17"/>
  <c r="L32" i="17"/>
  <c r="O147" i="31" l="1"/>
  <c r="P147" i="31"/>
  <c r="Q147" i="31"/>
  <c r="R147" i="31"/>
  <c r="O148" i="31"/>
  <c r="P148" i="31"/>
  <c r="Q148" i="31"/>
  <c r="R148" i="31"/>
  <c r="O149" i="31"/>
  <c r="P149" i="31"/>
  <c r="Q149" i="31"/>
  <c r="R149" i="31"/>
  <c r="O150" i="31"/>
  <c r="P150" i="31"/>
  <c r="Q150" i="31"/>
  <c r="R150" i="31"/>
  <c r="O151" i="31"/>
  <c r="P151" i="31"/>
  <c r="Q151" i="31"/>
  <c r="R151" i="31"/>
  <c r="O152" i="31"/>
  <c r="P152" i="31"/>
  <c r="Q152" i="31"/>
  <c r="R152" i="31"/>
  <c r="O153" i="31"/>
  <c r="P153" i="31"/>
  <c r="Q153" i="31"/>
  <c r="R153" i="31"/>
  <c r="O154" i="31"/>
  <c r="P154" i="31"/>
  <c r="Q154" i="31"/>
  <c r="R154" i="31"/>
  <c r="O155" i="31"/>
  <c r="P155" i="31"/>
  <c r="Q155" i="31"/>
  <c r="R155" i="31"/>
  <c r="O156" i="31"/>
  <c r="P156" i="31"/>
  <c r="Q156" i="31"/>
  <c r="R156" i="31"/>
  <c r="O157" i="31"/>
  <c r="P157" i="31"/>
  <c r="Q157" i="31"/>
  <c r="R157" i="31"/>
  <c r="O158" i="31"/>
  <c r="P158" i="31"/>
  <c r="Q158" i="31"/>
  <c r="R158" i="31"/>
  <c r="AL73" i="33" l="1"/>
  <c r="AK73" i="33"/>
  <c r="AJ73" i="33"/>
  <c r="AI73" i="33"/>
  <c r="AG73" i="33"/>
  <c r="AF73" i="33"/>
  <c r="AE73" i="33"/>
  <c r="AD73" i="33"/>
  <c r="AL73" i="32"/>
  <c r="AK73" i="32"/>
  <c r="AJ73" i="32"/>
  <c r="AI73" i="32"/>
  <c r="AG73" i="32"/>
  <c r="AF73" i="32"/>
  <c r="AE73" i="32"/>
  <c r="AD73" i="32"/>
  <c r="AL73" i="15"/>
  <c r="AK73" i="15"/>
  <c r="AJ73" i="15"/>
  <c r="AI73" i="15"/>
  <c r="AG73" i="15"/>
  <c r="AF73" i="15"/>
  <c r="AE73" i="15"/>
  <c r="AD73" i="15"/>
  <c r="AD108" i="15" l="1"/>
  <c r="AD109" i="15"/>
  <c r="AD110" i="15"/>
  <c r="AD111" i="15"/>
  <c r="AD112" i="15"/>
  <c r="AD113" i="15"/>
  <c r="AD114" i="15"/>
  <c r="AD115" i="15"/>
  <c r="AB230" i="33" l="1"/>
  <c r="AA230" i="33"/>
  <c r="Z230" i="33"/>
  <c r="Y230" i="33"/>
  <c r="W230" i="33"/>
  <c r="V230" i="33"/>
  <c r="U230" i="33"/>
  <c r="T230" i="33"/>
  <c r="AB203" i="33"/>
  <c r="AA203" i="33"/>
  <c r="Z203" i="33"/>
  <c r="Y203" i="33"/>
  <c r="W203" i="33"/>
  <c r="V203" i="33"/>
  <c r="U203" i="33"/>
  <c r="T203" i="33"/>
  <c r="AB175" i="33"/>
  <c r="AA175" i="33"/>
  <c r="Z175" i="33"/>
  <c r="Y175" i="33"/>
  <c r="W175" i="33"/>
  <c r="V175" i="33"/>
  <c r="U175" i="33"/>
  <c r="T175" i="33"/>
  <c r="AB147" i="33"/>
  <c r="AA147" i="33"/>
  <c r="Z147" i="33"/>
  <c r="Y147" i="33"/>
  <c r="W147" i="33"/>
  <c r="V147" i="33"/>
  <c r="U147" i="33"/>
  <c r="T147" i="33"/>
  <c r="AB107" i="33"/>
  <c r="AA107" i="33"/>
  <c r="Z107" i="33"/>
  <c r="Y107" i="33"/>
  <c r="W107" i="33"/>
  <c r="V107" i="33"/>
  <c r="U107" i="33"/>
  <c r="T107" i="33"/>
  <c r="AB73" i="33"/>
  <c r="AA73" i="33"/>
  <c r="Z73" i="33"/>
  <c r="Y73" i="33"/>
  <c r="W73" i="33"/>
  <c r="V73" i="33"/>
  <c r="U73" i="33"/>
  <c r="T73" i="33"/>
  <c r="AD230" i="33" l="1"/>
  <c r="AG230" i="33"/>
  <c r="AF230" i="33"/>
  <c r="AE230" i="33"/>
  <c r="AF203" i="33"/>
  <c r="AD203" i="33"/>
  <c r="AG203" i="33"/>
  <c r="AE203" i="33"/>
  <c r="AF175" i="33"/>
  <c r="AG175" i="33"/>
  <c r="AE175" i="33"/>
  <c r="AD175" i="33"/>
  <c r="AG147" i="33"/>
  <c r="AF147" i="33"/>
  <c r="AE147" i="33"/>
  <c r="AD147" i="33"/>
  <c r="M131" i="33"/>
  <c r="L131" i="33"/>
  <c r="K131" i="33"/>
  <c r="J131" i="33"/>
  <c r="M130" i="33"/>
  <c r="L130" i="33"/>
  <c r="K130" i="33"/>
  <c r="J130" i="33"/>
  <c r="M129" i="33"/>
  <c r="L129" i="33"/>
  <c r="K129" i="33"/>
  <c r="J129" i="33"/>
  <c r="M128" i="33"/>
  <c r="L128" i="33"/>
  <c r="K128" i="33"/>
  <c r="J128" i="33"/>
  <c r="M127" i="33"/>
  <c r="L127" i="33"/>
  <c r="K127" i="33"/>
  <c r="J127" i="33"/>
  <c r="M126" i="33"/>
  <c r="L126" i="33"/>
  <c r="K126" i="33"/>
  <c r="J126" i="33"/>
  <c r="M125" i="33"/>
  <c r="L125" i="33"/>
  <c r="K125" i="33"/>
  <c r="J125" i="33"/>
  <c r="M124" i="33"/>
  <c r="L124" i="33"/>
  <c r="K124" i="33"/>
  <c r="J124" i="33"/>
  <c r="M123" i="33"/>
  <c r="L123" i="33"/>
  <c r="K123" i="33"/>
  <c r="J123" i="33"/>
  <c r="M122" i="33"/>
  <c r="L122" i="33"/>
  <c r="K122" i="33"/>
  <c r="J122" i="33"/>
  <c r="M121" i="33"/>
  <c r="L121" i="33"/>
  <c r="K121" i="33"/>
  <c r="J121" i="33"/>
  <c r="M120" i="33"/>
  <c r="L120" i="33"/>
  <c r="K120" i="33"/>
  <c r="J120" i="33"/>
  <c r="M119" i="33"/>
  <c r="L119" i="33"/>
  <c r="K119" i="33"/>
  <c r="J119" i="33"/>
  <c r="M118" i="33"/>
  <c r="L118" i="33"/>
  <c r="K118" i="33"/>
  <c r="J118" i="33"/>
  <c r="M117" i="33"/>
  <c r="L117" i="33"/>
  <c r="K117" i="33"/>
  <c r="J117" i="33"/>
  <c r="M116" i="33"/>
  <c r="L116" i="33"/>
  <c r="K116" i="33"/>
  <c r="J116" i="33"/>
  <c r="M115" i="33"/>
  <c r="L115" i="33"/>
  <c r="K115" i="33"/>
  <c r="J115" i="33"/>
  <c r="M114" i="33"/>
  <c r="L114" i="33"/>
  <c r="K114" i="33"/>
  <c r="J114" i="33"/>
  <c r="M113" i="33"/>
  <c r="L113" i="33"/>
  <c r="K113" i="33"/>
  <c r="J113" i="33"/>
  <c r="M112" i="33"/>
  <c r="L112" i="33"/>
  <c r="K112" i="33"/>
  <c r="J112" i="33"/>
  <c r="M111" i="33"/>
  <c r="L111" i="33"/>
  <c r="K111" i="33"/>
  <c r="J111" i="33"/>
  <c r="M110" i="33"/>
  <c r="L110" i="33"/>
  <c r="K110" i="33"/>
  <c r="J110" i="33"/>
  <c r="M109" i="33"/>
  <c r="L109" i="33"/>
  <c r="K109" i="33"/>
  <c r="J109" i="33"/>
  <c r="M108" i="33"/>
  <c r="L108" i="33"/>
  <c r="K108" i="33"/>
  <c r="J108" i="33"/>
  <c r="M97" i="33"/>
  <c r="L97" i="33"/>
  <c r="K97" i="33"/>
  <c r="J97" i="33"/>
  <c r="H97" i="33"/>
  <c r="G97" i="33"/>
  <c r="F97" i="33"/>
  <c r="P131" i="33" s="1"/>
  <c r="E97" i="33"/>
  <c r="M96" i="33"/>
  <c r="L96" i="33"/>
  <c r="K96" i="33"/>
  <c r="J96" i="33"/>
  <c r="H96" i="33"/>
  <c r="G96" i="33"/>
  <c r="Q96" i="33" s="1"/>
  <c r="F96" i="33"/>
  <c r="P96" i="33" s="1"/>
  <c r="E96" i="33"/>
  <c r="O95" i="33" s="1"/>
  <c r="M95" i="33"/>
  <c r="L95" i="33"/>
  <c r="Q95" i="33" s="1"/>
  <c r="AA95" i="33" s="1"/>
  <c r="K95" i="33"/>
  <c r="J95" i="33"/>
  <c r="M94" i="33"/>
  <c r="R94" i="33" s="1"/>
  <c r="L94" i="33"/>
  <c r="K94" i="33"/>
  <c r="J94" i="33"/>
  <c r="M93" i="33"/>
  <c r="L93" i="33"/>
  <c r="Q93" i="33" s="1"/>
  <c r="K93" i="33"/>
  <c r="J93" i="33"/>
  <c r="H93" i="33"/>
  <c r="G93" i="33"/>
  <c r="F93" i="33"/>
  <c r="E93" i="33"/>
  <c r="M92" i="33"/>
  <c r="L92" i="33"/>
  <c r="K92" i="33"/>
  <c r="P92" i="33" s="1"/>
  <c r="Z92" i="33" s="1"/>
  <c r="J92" i="33"/>
  <c r="H92" i="33"/>
  <c r="G92" i="33"/>
  <c r="F92" i="33"/>
  <c r="E92" i="33"/>
  <c r="M91" i="33"/>
  <c r="L91" i="33"/>
  <c r="Q91" i="33" s="1"/>
  <c r="K91" i="33"/>
  <c r="J91" i="33"/>
  <c r="M90" i="33"/>
  <c r="L90" i="33"/>
  <c r="Q90" i="33" s="1"/>
  <c r="K90" i="33"/>
  <c r="J90" i="33"/>
  <c r="R89" i="33"/>
  <c r="M89" i="33"/>
  <c r="L89" i="33"/>
  <c r="Q89" i="33" s="1"/>
  <c r="AA89" i="33" s="1"/>
  <c r="K89" i="33"/>
  <c r="J89" i="33"/>
  <c r="H89" i="33"/>
  <c r="G89" i="33"/>
  <c r="F89" i="33"/>
  <c r="E89" i="33"/>
  <c r="P88" i="33"/>
  <c r="M88" i="33"/>
  <c r="L88" i="33"/>
  <c r="K88" i="33"/>
  <c r="J88" i="33"/>
  <c r="H88" i="33"/>
  <c r="G88" i="33"/>
  <c r="Q88" i="33" s="1"/>
  <c r="V88" i="33" s="1"/>
  <c r="F88" i="33"/>
  <c r="E88" i="33"/>
  <c r="M87" i="33"/>
  <c r="R87" i="33" s="1"/>
  <c r="AB87" i="33" s="1"/>
  <c r="L87" i="33"/>
  <c r="Q87" i="33" s="1"/>
  <c r="AA87" i="33" s="1"/>
  <c r="K87" i="33"/>
  <c r="P87" i="33" s="1"/>
  <c r="U87" i="33" s="1"/>
  <c r="J87" i="33"/>
  <c r="M86" i="33"/>
  <c r="R86" i="33" s="1"/>
  <c r="L86" i="33"/>
  <c r="Q86" i="33" s="1"/>
  <c r="K86" i="33"/>
  <c r="P86" i="33" s="1"/>
  <c r="J86" i="33"/>
  <c r="O86" i="33" s="1"/>
  <c r="R85" i="33"/>
  <c r="AB85" i="33" s="1"/>
  <c r="M85" i="33"/>
  <c r="L85" i="33"/>
  <c r="K85" i="33"/>
  <c r="J85" i="33"/>
  <c r="H85" i="33"/>
  <c r="G85" i="33"/>
  <c r="F85" i="33"/>
  <c r="E85" i="33"/>
  <c r="M84" i="33"/>
  <c r="L84" i="33"/>
  <c r="K84" i="33"/>
  <c r="J84" i="33"/>
  <c r="H84" i="33"/>
  <c r="R83" i="33" s="1"/>
  <c r="AB83" i="33" s="1"/>
  <c r="G84" i="33"/>
  <c r="Q85" i="33" s="1"/>
  <c r="F84" i="33"/>
  <c r="P85" i="33" s="1"/>
  <c r="E84" i="33"/>
  <c r="O84" i="33" s="1"/>
  <c r="M83" i="33"/>
  <c r="L83" i="33"/>
  <c r="Q83" i="33" s="1"/>
  <c r="K83" i="33"/>
  <c r="J83" i="33"/>
  <c r="M82" i="33"/>
  <c r="R82" i="33" s="1"/>
  <c r="L82" i="33"/>
  <c r="Q82" i="33" s="1"/>
  <c r="K82" i="33"/>
  <c r="J82" i="33"/>
  <c r="M81" i="33"/>
  <c r="R81" i="33" s="1"/>
  <c r="L81" i="33"/>
  <c r="K81" i="33"/>
  <c r="J81" i="33"/>
  <c r="H81" i="33"/>
  <c r="G81" i="33"/>
  <c r="Q112" i="33" s="1"/>
  <c r="F81" i="33"/>
  <c r="E81" i="33"/>
  <c r="M80" i="33"/>
  <c r="L80" i="33"/>
  <c r="K80" i="33"/>
  <c r="J80" i="33"/>
  <c r="H80" i="33"/>
  <c r="R80" i="33" s="1"/>
  <c r="W80" i="33" s="1"/>
  <c r="G80" i="33"/>
  <c r="Q80" i="33" s="1"/>
  <c r="F80" i="33"/>
  <c r="E80" i="33"/>
  <c r="M79" i="33"/>
  <c r="R79" i="33" s="1"/>
  <c r="L79" i="33"/>
  <c r="K79" i="33"/>
  <c r="J79" i="33"/>
  <c r="O79" i="33" s="1"/>
  <c r="M78" i="33"/>
  <c r="R78" i="33" s="1"/>
  <c r="L78" i="33"/>
  <c r="K78" i="33"/>
  <c r="J78" i="33"/>
  <c r="M77" i="33"/>
  <c r="L77" i="33"/>
  <c r="K77" i="33"/>
  <c r="J77" i="33"/>
  <c r="H77" i="33"/>
  <c r="R111" i="33" s="1"/>
  <c r="G77" i="33"/>
  <c r="F77" i="33"/>
  <c r="E77" i="33"/>
  <c r="M76" i="33"/>
  <c r="L76" i="33"/>
  <c r="K76" i="33"/>
  <c r="J76" i="33"/>
  <c r="H76" i="33"/>
  <c r="R76" i="33" s="1"/>
  <c r="G76" i="33"/>
  <c r="Q76" i="33" s="1"/>
  <c r="F76" i="33"/>
  <c r="E76" i="33"/>
  <c r="M75" i="33"/>
  <c r="L75" i="33"/>
  <c r="K75" i="33"/>
  <c r="P75" i="33" s="1"/>
  <c r="J75" i="33"/>
  <c r="O75" i="33" s="1"/>
  <c r="M74" i="33"/>
  <c r="L74" i="33"/>
  <c r="K74" i="33"/>
  <c r="J74" i="33"/>
  <c r="O74" i="33" s="1"/>
  <c r="T74" i="33" s="1"/>
  <c r="K60" i="33"/>
  <c r="J60" i="33"/>
  <c r="I60" i="33"/>
  <c r="H60" i="33"/>
  <c r="K59" i="33"/>
  <c r="J59" i="33"/>
  <c r="I59" i="33"/>
  <c r="H59" i="33"/>
  <c r="K58" i="33"/>
  <c r="J58" i="33"/>
  <c r="I58" i="33"/>
  <c r="H58" i="33"/>
  <c r="J44" i="33"/>
  <c r="I44" i="33"/>
  <c r="H44" i="33"/>
  <c r="G44" i="33"/>
  <c r="J43" i="33"/>
  <c r="I43" i="33"/>
  <c r="H43" i="33"/>
  <c r="G43" i="33"/>
  <c r="J42" i="33"/>
  <c r="I42" i="33"/>
  <c r="H42" i="33"/>
  <c r="G42" i="33"/>
  <c r="J41" i="33"/>
  <c r="I41" i="33"/>
  <c r="H41" i="33"/>
  <c r="G41" i="33"/>
  <c r="J39" i="33"/>
  <c r="I39" i="33"/>
  <c r="H39" i="33"/>
  <c r="G39" i="33"/>
  <c r="J38" i="33"/>
  <c r="I38" i="33"/>
  <c r="H38" i="33"/>
  <c r="G38" i="33"/>
  <c r="J37" i="33"/>
  <c r="I37" i="33"/>
  <c r="H37" i="33"/>
  <c r="G37" i="33"/>
  <c r="J36" i="33"/>
  <c r="I36" i="33"/>
  <c r="H36" i="33"/>
  <c r="G36" i="33"/>
  <c r="J34" i="33"/>
  <c r="I34" i="33"/>
  <c r="H34" i="33"/>
  <c r="G34" i="33"/>
  <c r="J33" i="33"/>
  <c r="I33" i="33"/>
  <c r="H33" i="33"/>
  <c r="G33" i="33"/>
  <c r="J32" i="33"/>
  <c r="I32" i="33"/>
  <c r="H32" i="33"/>
  <c r="G32" i="33"/>
  <c r="J31" i="33"/>
  <c r="I31" i="33"/>
  <c r="H31" i="33"/>
  <c r="G31" i="33"/>
  <c r="O29" i="33"/>
  <c r="N29" i="33"/>
  <c r="M29" i="33"/>
  <c r="L29" i="33"/>
  <c r="J29" i="33"/>
  <c r="I29" i="33"/>
  <c r="H29" i="33"/>
  <c r="G29" i="33"/>
  <c r="J28" i="33"/>
  <c r="I28" i="33"/>
  <c r="H28" i="33"/>
  <c r="G28" i="33"/>
  <c r="J27" i="33"/>
  <c r="I27" i="33"/>
  <c r="H27" i="33"/>
  <c r="G27" i="33"/>
  <c r="AB230" i="32"/>
  <c r="AA230" i="32"/>
  <c r="Z230" i="32"/>
  <c r="Y230" i="32"/>
  <c r="W230" i="32"/>
  <c r="V230" i="32"/>
  <c r="U230" i="32"/>
  <c r="T230" i="32"/>
  <c r="AB203" i="32"/>
  <c r="AA203" i="32"/>
  <c r="Z203" i="32"/>
  <c r="Y203" i="32"/>
  <c r="W203" i="32"/>
  <c r="V203" i="32"/>
  <c r="U203" i="32"/>
  <c r="T203" i="32"/>
  <c r="AB175" i="32"/>
  <c r="AA175" i="32"/>
  <c r="Z175" i="32"/>
  <c r="Y175" i="32"/>
  <c r="W175" i="32"/>
  <c r="V175" i="32"/>
  <c r="U175" i="32"/>
  <c r="T175" i="32"/>
  <c r="AB147" i="32"/>
  <c r="AA147" i="32"/>
  <c r="Z147" i="32"/>
  <c r="Y147" i="32"/>
  <c r="W147" i="32"/>
  <c r="V147" i="32"/>
  <c r="U147" i="32"/>
  <c r="T147" i="32"/>
  <c r="AB107" i="32"/>
  <c r="AA107" i="32"/>
  <c r="Z107" i="32"/>
  <c r="Y107" i="32"/>
  <c r="W107" i="32"/>
  <c r="V107" i="32"/>
  <c r="U107" i="32"/>
  <c r="T107" i="32"/>
  <c r="AB73" i="32"/>
  <c r="AA73" i="32"/>
  <c r="Z73" i="32"/>
  <c r="Y73" i="32"/>
  <c r="W73" i="32"/>
  <c r="V73" i="32"/>
  <c r="U73" i="32"/>
  <c r="T73" i="32"/>
  <c r="AB107" i="15"/>
  <c r="AA107" i="15"/>
  <c r="Z107" i="15"/>
  <c r="Y107" i="15"/>
  <c r="W107" i="15"/>
  <c r="V107" i="15"/>
  <c r="U107" i="15"/>
  <c r="T107" i="15"/>
  <c r="AB73" i="15"/>
  <c r="AA73" i="15"/>
  <c r="Z73" i="15"/>
  <c r="Y73" i="15"/>
  <c r="W73" i="15"/>
  <c r="V73" i="15"/>
  <c r="U73" i="15"/>
  <c r="T73" i="15"/>
  <c r="O179" i="30"/>
  <c r="O174" i="30"/>
  <c r="O108" i="33" l="1"/>
  <c r="V91" i="33"/>
  <c r="O90" i="33"/>
  <c r="Y90" i="33" s="1"/>
  <c r="R96" i="33"/>
  <c r="O76" i="33"/>
  <c r="Z87" i="33"/>
  <c r="P76" i="33"/>
  <c r="P206" i="33" s="1"/>
  <c r="O81" i="33"/>
  <c r="O88" i="33"/>
  <c r="T88" i="33" s="1"/>
  <c r="R92" i="33"/>
  <c r="AG92" i="33" s="1"/>
  <c r="Q110" i="33"/>
  <c r="V110" i="33" s="1"/>
  <c r="P81" i="33"/>
  <c r="P89" i="33"/>
  <c r="Q77" i="33"/>
  <c r="Q234" i="33" s="1"/>
  <c r="R90" i="33"/>
  <c r="R220" i="33" s="1"/>
  <c r="O82" i="33"/>
  <c r="O94" i="33"/>
  <c r="O251" i="33" s="1"/>
  <c r="P82" i="33"/>
  <c r="P239" i="33" s="1"/>
  <c r="O93" i="33"/>
  <c r="O250" i="33" s="1"/>
  <c r="Q94" i="33"/>
  <c r="R95" i="33"/>
  <c r="R225" i="33" s="1"/>
  <c r="Y95" i="33"/>
  <c r="AA88" i="33"/>
  <c r="P74" i="33"/>
  <c r="Z74" i="33" s="1"/>
  <c r="Q75" i="33"/>
  <c r="O78" i="33"/>
  <c r="Y78" i="33" s="1"/>
  <c r="P79" i="33"/>
  <c r="P209" i="33" s="1"/>
  <c r="O91" i="33"/>
  <c r="Q97" i="33"/>
  <c r="AA97" i="33" s="1"/>
  <c r="R93" i="33"/>
  <c r="AB93" i="33" s="1"/>
  <c r="O97" i="33"/>
  <c r="Y97" i="33" s="1"/>
  <c r="Q74" i="33"/>
  <c r="O77" i="33"/>
  <c r="Y77" i="33" s="1"/>
  <c r="P78" i="33"/>
  <c r="U78" i="33" s="1"/>
  <c r="Q79" i="33"/>
  <c r="Q209" i="33" s="1"/>
  <c r="O87" i="33"/>
  <c r="Y87" i="33" s="1"/>
  <c r="R97" i="33"/>
  <c r="P77" i="33"/>
  <c r="Z77" i="33" s="1"/>
  <c r="Q78" i="33"/>
  <c r="AA78" i="33" s="1"/>
  <c r="Q81" i="33"/>
  <c r="AA81" i="33" s="1"/>
  <c r="O85" i="33"/>
  <c r="O242" i="33" s="1"/>
  <c r="O89" i="33"/>
  <c r="O219" i="33" s="1"/>
  <c r="R91" i="33"/>
  <c r="AB91" i="33" s="1"/>
  <c r="Q210" i="33"/>
  <c r="Q237" i="33"/>
  <c r="AA80" i="33"/>
  <c r="V80" i="33"/>
  <c r="Q180" i="33"/>
  <c r="Q152" i="33"/>
  <c r="V112" i="33"/>
  <c r="AF112" i="33"/>
  <c r="AA112" i="33"/>
  <c r="O239" i="33"/>
  <c r="O212" i="33"/>
  <c r="T82" i="33"/>
  <c r="AD82" i="33"/>
  <c r="Y82" i="33"/>
  <c r="Q212" i="33"/>
  <c r="Q239" i="33"/>
  <c r="AA82" i="33"/>
  <c r="V82" i="33"/>
  <c r="AD88" i="33"/>
  <c r="Q215" i="33"/>
  <c r="Q242" i="33"/>
  <c r="AA85" i="33"/>
  <c r="V85" i="33"/>
  <c r="P216" i="33"/>
  <c r="P243" i="33"/>
  <c r="U86" i="33"/>
  <c r="Z86" i="33"/>
  <c r="P226" i="33"/>
  <c r="P253" i="33"/>
  <c r="U96" i="33"/>
  <c r="Z96" i="33"/>
  <c r="O241" i="33"/>
  <c r="O214" i="33"/>
  <c r="T84" i="33"/>
  <c r="AD84" i="33"/>
  <c r="Y84" i="33"/>
  <c r="R235" i="33"/>
  <c r="R208" i="33"/>
  <c r="AG78" i="33"/>
  <c r="W78" i="33"/>
  <c r="AB78" i="33"/>
  <c r="O233" i="33"/>
  <c r="O206" i="33"/>
  <c r="Y76" i="33"/>
  <c r="T76" i="33"/>
  <c r="O176" i="33"/>
  <c r="O148" i="33"/>
  <c r="AD108" i="33"/>
  <c r="T108" i="33"/>
  <c r="Y108" i="33"/>
  <c r="Q216" i="33"/>
  <c r="Q243" i="33"/>
  <c r="V86" i="33"/>
  <c r="AA86" i="33"/>
  <c r="R233" i="33"/>
  <c r="R206" i="33"/>
  <c r="AB76" i="33"/>
  <c r="AG76" i="33"/>
  <c r="W76" i="33"/>
  <c r="R236" i="33"/>
  <c r="R209" i="33"/>
  <c r="AG79" i="33"/>
  <c r="W79" i="33"/>
  <c r="AB79" i="33"/>
  <c r="P215" i="33"/>
  <c r="P242" i="33"/>
  <c r="Z85" i="33"/>
  <c r="U85" i="33"/>
  <c r="O238" i="33"/>
  <c r="O211" i="33"/>
  <c r="Y81" i="33"/>
  <c r="T81" i="33"/>
  <c r="Q233" i="33"/>
  <c r="Q206" i="33"/>
  <c r="AA76" i="33"/>
  <c r="V76" i="33"/>
  <c r="P211" i="33"/>
  <c r="P238" i="33"/>
  <c r="Z81" i="33"/>
  <c r="U81" i="33"/>
  <c r="Q213" i="33"/>
  <c r="Q240" i="33"/>
  <c r="V83" i="33"/>
  <c r="AA83" i="33"/>
  <c r="Y79" i="33"/>
  <c r="Q220" i="33"/>
  <c r="Q247" i="33"/>
  <c r="R127" i="33"/>
  <c r="R126" i="33"/>
  <c r="R125" i="33"/>
  <c r="R124" i="33"/>
  <c r="AJ77" i="33"/>
  <c r="P231" i="33"/>
  <c r="P204" i="33"/>
  <c r="P232" i="33"/>
  <c r="P205" i="33"/>
  <c r="Z75" i="33"/>
  <c r="P111" i="33"/>
  <c r="P110" i="33"/>
  <c r="P109" i="33"/>
  <c r="P108" i="33"/>
  <c r="P234" i="33"/>
  <c r="P207" i="33"/>
  <c r="Z78" i="33"/>
  <c r="AG80" i="33"/>
  <c r="O83" i="33"/>
  <c r="Y86" i="33"/>
  <c r="P217" i="33"/>
  <c r="P244" i="33"/>
  <c r="P219" i="33"/>
  <c r="P246" i="33"/>
  <c r="Z89" i="33"/>
  <c r="Q218" i="33"/>
  <c r="Q245" i="33"/>
  <c r="R123" i="33"/>
  <c r="R122" i="33"/>
  <c r="R121" i="33"/>
  <c r="R120" i="33"/>
  <c r="U89" i="33"/>
  <c r="R247" i="33"/>
  <c r="Q221" i="33"/>
  <c r="Q248" i="33"/>
  <c r="AA94" i="33"/>
  <c r="AB95" i="33"/>
  <c r="R226" i="33"/>
  <c r="R253" i="33"/>
  <c r="AB96" i="33"/>
  <c r="W96" i="33"/>
  <c r="Q131" i="33"/>
  <c r="Q130" i="33"/>
  <c r="Q129" i="33"/>
  <c r="Q128" i="33"/>
  <c r="R227" i="33"/>
  <c r="R254" i="33"/>
  <c r="AG97" i="33"/>
  <c r="W97" i="33"/>
  <c r="O109" i="33"/>
  <c r="R238" i="33"/>
  <c r="R211" i="33"/>
  <c r="AG81" i="33"/>
  <c r="W81" i="33"/>
  <c r="R246" i="33"/>
  <c r="R219" i="33"/>
  <c r="AG89" i="33"/>
  <c r="W89" i="33"/>
  <c r="AK77" i="33"/>
  <c r="Q231" i="33"/>
  <c r="Q204" i="33"/>
  <c r="AA74" i="33"/>
  <c r="Q232" i="33"/>
  <c r="Q205" i="33"/>
  <c r="Q178" i="33"/>
  <c r="Q150" i="33"/>
  <c r="Q207" i="33"/>
  <c r="AA77" i="33"/>
  <c r="Q236" i="33"/>
  <c r="P83" i="33"/>
  <c r="O243" i="33"/>
  <c r="O216" i="33"/>
  <c r="Q217" i="33"/>
  <c r="Q244" i="33"/>
  <c r="V89" i="33"/>
  <c r="R221" i="33"/>
  <c r="AG91" i="33"/>
  <c r="W91" i="33"/>
  <c r="AA93" i="33"/>
  <c r="AB94" i="33"/>
  <c r="R129" i="33"/>
  <c r="R130" i="33"/>
  <c r="R131" i="33"/>
  <c r="R128" i="33"/>
  <c r="Q109" i="33"/>
  <c r="Q111" i="33"/>
  <c r="P218" i="33"/>
  <c r="P245" i="33"/>
  <c r="V96" i="33"/>
  <c r="AL89" i="33"/>
  <c r="R74" i="33"/>
  <c r="R75" i="33"/>
  <c r="R179" i="33"/>
  <c r="R151" i="33"/>
  <c r="AG111" i="33"/>
  <c r="R77" i="33"/>
  <c r="V81" i="33"/>
  <c r="R244" i="33"/>
  <c r="R217" i="33"/>
  <c r="AG87" i="33"/>
  <c r="W87" i="33"/>
  <c r="R88" i="33"/>
  <c r="U88" i="33"/>
  <c r="V90" i="33"/>
  <c r="O252" i="33"/>
  <c r="O225" i="33"/>
  <c r="T95" i="33"/>
  <c r="Q108" i="33"/>
  <c r="R109" i="33"/>
  <c r="O232" i="33"/>
  <c r="O205" i="33"/>
  <c r="O248" i="33"/>
  <c r="O221" i="33"/>
  <c r="T91" i="33"/>
  <c r="AD87" i="33"/>
  <c r="T79" i="33"/>
  <c r="O80" i="33"/>
  <c r="R240" i="33"/>
  <c r="R213" i="33"/>
  <c r="AG83" i="33"/>
  <c r="W83" i="33"/>
  <c r="P84" i="33"/>
  <c r="O119" i="33"/>
  <c r="O118" i="33"/>
  <c r="O117" i="33"/>
  <c r="O116" i="33"/>
  <c r="AB86" i="33"/>
  <c r="O92" i="33"/>
  <c r="P222" i="33"/>
  <c r="P249" i="33"/>
  <c r="U92" i="33"/>
  <c r="O224" i="33"/>
  <c r="T94" i="33"/>
  <c r="Q225" i="33"/>
  <c r="Q252" i="33"/>
  <c r="V95" i="33"/>
  <c r="R108" i="33"/>
  <c r="W111" i="33"/>
  <c r="AI76" i="33"/>
  <c r="Y75" i="33"/>
  <c r="O111" i="33"/>
  <c r="O110" i="33"/>
  <c r="O236" i="33"/>
  <c r="O209" i="33"/>
  <c r="O244" i="33"/>
  <c r="O217" i="33"/>
  <c r="Q226" i="33"/>
  <c r="Q253" i="33"/>
  <c r="AA96" i="33"/>
  <c r="T75" i="33"/>
  <c r="AE88" i="33"/>
  <c r="U74" i="33"/>
  <c r="U75" i="33"/>
  <c r="U77" i="33"/>
  <c r="P80" i="33"/>
  <c r="O115" i="33"/>
  <c r="O114" i="33"/>
  <c r="O113" i="33"/>
  <c r="O112" i="33"/>
  <c r="AB82" i="33"/>
  <c r="Q84" i="33"/>
  <c r="P119" i="33"/>
  <c r="P118" i="33"/>
  <c r="P117" i="33"/>
  <c r="P116" i="33"/>
  <c r="AL85" i="33"/>
  <c r="R216" i="33"/>
  <c r="R243" i="33"/>
  <c r="AG86" i="33"/>
  <c r="W86" i="33"/>
  <c r="V87" i="33"/>
  <c r="AB89" i="33"/>
  <c r="AA90" i="33"/>
  <c r="Y91" i="33"/>
  <c r="P93" i="33"/>
  <c r="P91" i="33"/>
  <c r="P90" i="33"/>
  <c r="O127" i="33"/>
  <c r="O126" i="33"/>
  <c r="O125" i="33"/>
  <c r="O124" i="33"/>
  <c r="Q224" i="33"/>
  <c r="Q251" i="33"/>
  <c r="V94" i="33"/>
  <c r="AG95" i="33"/>
  <c r="W95" i="33"/>
  <c r="AG96" i="33"/>
  <c r="AB97" i="33"/>
  <c r="AB111" i="33"/>
  <c r="O231" i="33"/>
  <c r="O204" i="33"/>
  <c r="AI75" i="33"/>
  <c r="Q123" i="33"/>
  <c r="Q122" i="33"/>
  <c r="Q121" i="33"/>
  <c r="Q120" i="33"/>
  <c r="AF87" i="33"/>
  <c r="V74" i="33"/>
  <c r="V75" i="33"/>
  <c r="V78" i="33"/>
  <c r="V79" i="33"/>
  <c r="P115" i="33"/>
  <c r="P114" i="33"/>
  <c r="P113" i="33"/>
  <c r="P112" i="33"/>
  <c r="R212" i="33"/>
  <c r="R239" i="33"/>
  <c r="AG82" i="33"/>
  <c r="W82" i="33"/>
  <c r="R84" i="33"/>
  <c r="Q119" i="33"/>
  <c r="Q118" i="33"/>
  <c r="Q117" i="33"/>
  <c r="Q116" i="33"/>
  <c r="T86" i="33"/>
  <c r="Z88" i="33"/>
  <c r="O123" i="33"/>
  <c r="O122" i="33"/>
  <c r="O121" i="33"/>
  <c r="O120" i="33"/>
  <c r="O246" i="33"/>
  <c r="AA91" i="33"/>
  <c r="Q92" i="33"/>
  <c r="Q223" i="33"/>
  <c r="Q250" i="33"/>
  <c r="V93" i="33"/>
  <c r="R224" i="33"/>
  <c r="R251" i="33"/>
  <c r="AG94" i="33"/>
  <c r="W94" i="33"/>
  <c r="O96" i="33"/>
  <c r="R110" i="33"/>
  <c r="Y74" i="33"/>
  <c r="O208" i="33"/>
  <c r="R115" i="33"/>
  <c r="R114" i="33"/>
  <c r="R113" i="33"/>
  <c r="R112" i="33"/>
  <c r="O245" i="33"/>
  <c r="O218" i="33"/>
  <c r="Y88" i="33"/>
  <c r="Q254" i="33"/>
  <c r="R210" i="33"/>
  <c r="R237" i="33"/>
  <c r="AB80" i="33"/>
  <c r="Q115" i="33"/>
  <c r="Q114" i="33"/>
  <c r="Q113" i="33"/>
  <c r="Q211" i="33"/>
  <c r="Q238" i="33"/>
  <c r="AB81" i="33"/>
  <c r="R119" i="33"/>
  <c r="R118" i="33"/>
  <c r="R117" i="33"/>
  <c r="R116" i="33"/>
  <c r="R242" i="33"/>
  <c r="R215" i="33"/>
  <c r="AG85" i="33"/>
  <c r="W85" i="33"/>
  <c r="P123" i="33"/>
  <c r="P122" i="33"/>
  <c r="P121" i="33"/>
  <c r="P120" i="33"/>
  <c r="Q219" i="33"/>
  <c r="Q246" i="33"/>
  <c r="O247" i="33"/>
  <c r="O220" i="33"/>
  <c r="T90" i="33"/>
  <c r="R222" i="33"/>
  <c r="AB92" i="33"/>
  <c r="W92" i="33"/>
  <c r="Q127" i="33"/>
  <c r="Q126" i="33"/>
  <c r="Q125" i="33"/>
  <c r="Q124" i="33"/>
  <c r="R250" i="33"/>
  <c r="AG93" i="33"/>
  <c r="W93" i="33"/>
  <c r="P97" i="33"/>
  <c r="P95" i="33"/>
  <c r="P94" i="33"/>
  <c r="O130" i="33"/>
  <c r="O128" i="33"/>
  <c r="O131" i="33"/>
  <c r="O129" i="33"/>
  <c r="AI97" i="33"/>
  <c r="P199" i="33"/>
  <c r="P171" i="33"/>
  <c r="AE131" i="33"/>
  <c r="U131" i="33"/>
  <c r="P127" i="33"/>
  <c r="P126" i="33"/>
  <c r="P125" i="33"/>
  <c r="P124" i="33"/>
  <c r="P128" i="33"/>
  <c r="P129" i="33"/>
  <c r="P130" i="33"/>
  <c r="Z131" i="33"/>
  <c r="I117" i="30"/>
  <c r="J117" i="30"/>
  <c r="K117" i="30"/>
  <c r="L117" i="30"/>
  <c r="AG230" i="32"/>
  <c r="AE230" i="32"/>
  <c r="AF230" i="32"/>
  <c r="AD230" i="32"/>
  <c r="AG203" i="32"/>
  <c r="AE203" i="32"/>
  <c r="AF203" i="32"/>
  <c r="AD203" i="32"/>
  <c r="AG175" i="32"/>
  <c r="AF175" i="32"/>
  <c r="AE175" i="32"/>
  <c r="AD175" i="32"/>
  <c r="AG147" i="32"/>
  <c r="AF147" i="32"/>
  <c r="AE147" i="32"/>
  <c r="AD147" i="32"/>
  <c r="M131" i="32"/>
  <c r="L131" i="32"/>
  <c r="K131" i="32"/>
  <c r="J131" i="32"/>
  <c r="M130" i="32"/>
  <c r="L130" i="32"/>
  <c r="K130" i="32"/>
  <c r="J130" i="32"/>
  <c r="M129" i="32"/>
  <c r="L129" i="32"/>
  <c r="K129" i="32"/>
  <c r="J129" i="32"/>
  <c r="M128" i="32"/>
  <c r="L128" i="32"/>
  <c r="K128" i="32"/>
  <c r="J128" i="32"/>
  <c r="M127" i="32"/>
  <c r="L127" i="32"/>
  <c r="K127" i="32"/>
  <c r="J127" i="32"/>
  <c r="M126" i="32"/>
  <c r="L126" i="32"/>
  <c r="K126" i="32"/>
  <c r="J126" i="32"/>
  <c r="M125" i="32"/>
  <c r="L125" i="32"/>
  <c r="Q125" i="32" s="1"/>
  <c r="Q165" i="32" s="1"/>
  <c r="K125" i="32"/>
  <c r="J125" i="32"/>
  <c r="O125" i="32" s="1"/>
  <c r="M124" i="32"/>
  <c r="L124" i="32"/>
  <c r="K124" i="32"/>
  <c r="J124" i="32"/>
  <c r="M123" i="32"/>
  <c r="L123" i="32"/>
  <c r="K123" i="32"/>
  <c r="J123" i="32"/>
  <c r="M122" i="32"/>
  <c r="L122" i="32"/>
  <c r="K122" i="32"/>
  <c r="J122" i="32"/>
  <c r="M121" i="32"/>
  <c r="L121" i="32"/>
  <c r="K121" i="32"/>
  <c r="J121" i="32"/>
  <c r="M120" i="32"/>
  <c r="L120" i="32"/>
  <c r="K120" i="32"/>
  <c r="J120" i="32"/>
  <c r="M119" i="32"/>
  <c r="L119" i="32"/>
  <c r="K119" i="32"/>
  <c r="J119" i="32"/>
  <c r="M118" i="32"/>
  <c r="L118" i="32"/>
  <c r="K118" i="32"/>
  <c r="J118" i="32"/>
  <c r="M117" i="32"/>
  <c r="L117" i="32"/>
  <c r="K117" i="32"/>
  <c r="J117" i="32"/>
  <c r="M116" i="32"/>
  <c r="L116" i="32"/>
  <c r="K116" i="32"/>
  <c r="J116" i="32"/>
  <c r="M115" i="32"/>
  <c r="L115" i="32"/>
  <c r="K115" i="32"/>
  <c r="J115" i="32"/>
  <c r="M114" i="32"/>
  <c r="L114" i="32"/>
  <c r="K114" i="32"/>
  <c r="J114" i="32"/>
  <c r="M113" i="32"/>
  <c r="L113" i="32"/>
  <c r="K113" i="32"/>
  <c r="J113" i="32"/>
  <c r="M112" i="32"/>
  <c r="L112" i="32"/>
  <c r="K112" i="32"/>
  <c r="J112" i="32"/>
  <c r="M111" i="32"/>
  <c r="L111" i="32"/>
  <c r="K111" i="32"/>
  <c r="J111" i="32"/>
  <c r="M110" i="32"/>
  <c r="L110" i="32"/>
  <c r="K110" i="32"/>
  <c r="J110" i="32"/>
  <c r="O110" i="32" s="1"/>
  <c r="M109" i="32"/>
  <c r="L109" i="32"/>
  <c r="K109" i="32"/>
  <c r="J109" i="32"/>
  <c r="M108" i="32"/>
  <c r="L108" i="32"/>
  <c r="K108" i="32"/>
  <c r="J108" i="32"/>
  <c r="M97" i="32"/>
  <c r="L97" i="32"/>
  <c r="K97" i="32"/>
  <c r="J97" i="32"/>
  <c r="H97" i="32"/>
  <c r="G97" i="32"/>
  <c r="F97" i="32"/>
  <c r="E97" i="32"/>
  <c r="M96" i="32"/>
  <c r="L96" i="32"/>
  <c r="K96" i="32"/>
  <c r="J96" i="32"/>
  <c r="H96" i="32"/>
  <c r="G96" i="32"/>
  <c r="F96" i="32"/>
  <c r="P95" i="32" s="1"/>
  <c r="E96" i="32"/>
  <c r="M95" i="32"/>
  <c r="R95" i="32" s="1"/>
  <c r="L95" i="32"/>
  <c r="K95" i="32"/>
  <c r="J95" i="32"/>
  <c r="O95" i="32" s="1"/>
  <c r="M94" i="32"/>
  <c r="L94" i="32"/>
  <c r="K94" i="32"/>
  <c r="P94" i="32" s="1"/>
  <c r="J94" i="32"/>
  <c r="M93" i="32"/>
  <c r="L93" i="32"/>
  <c r="K93" i="32"/>
  <c r="P93" i="32" s="1"/>
  <c r="U93" i="32" s="1"/>
  <c r="J93" i="32"/>
  <c r="H93" i="32"/>
  <c r="G93" i="32"/>
  <c r="Q126" i="32" s="1"/>
  <c r="F93" i="32"/>
  <c r="E93" i="32"/>
  <c r="M92" i="32"/>
  <c r="L92" i="32"/>
  <c r="K92" i="32"/>
  <c r="J92" i="32"/>
  <c r="H92" i="32"/>
  <c r="G92" i="32"/>
  <c r="F92" i="32"/>
  <c r="E92" i="32"/>
  <c r="M91" i="32"/>
  <c r="L91" i="32"/>
  <c r="Q91" i="32" s="1"/>
  <c r="AA91" i="32" s="1"/>
  <c r="K91" i="32"/>
  <c r="J91" i="32"/>
  <c r="Q90" i="32"/>
  <c r="M90" i="32"/>
  <c r="L90" i="32"/>
  <c r="K90" i="32"/>
  <c r="J90" i="32"/>
  <c r="Q89" i="32"/>
  <c r="AA89" i="32" s="1"/>
  <c r="M89" i="32"/>
  <c r="L89" i="32"/>
  <c r="K89" i="32"/>
  <c r="J89" i="32"/>
  <c r="H89" i="32"/>
  <c r="G89" i="32"/>
  <c r="F89" i="32"/>
  <c r="E89" i="32"/>
  <c r="M88" i="32"/>
  <c r="L88" i="32"/>
  <c r="K88" i="32"/>
  <c r="J88" i="32"/>
  <c r="H88" i="32"/>
  <c r="G88" i="32"/>
  <c r="Q87" i="32" s="1"/>
  <c r="AA87" i="32" s="1"/>
  <c r="F88" i="32"/>
  <c r="P89" i="32" s="1"/>
  <c r="E88" i="32"/>
  <c r="M87" i="32"/>
  <c r="L87" i="32"/>
  <c r="K87" i="32"/>
  <c r="J87" i="32"/>
  <c r="M86" i="32"/>
  <c r="L86" i="32"/>
  <c r="Q86" i="32" s="1"/>
  <c r="K86" i="32"/>
  <c r="J86" i="32"/>
  <c r="O86" i="32" s="1"/>
  <c r="M85" i="32"/>
  <c r="L85" i="32"/>
  <c r="Q85" i="32" s="1"/>
  <c r="K85" i="32"/>
  <c r="J85" i="32"/>
  <c r="H85" i="32"/>
  <c r="G85" i="32"/>
  <c r="F85" i="32"/>
  <c r="E85" i="32"/>
  <c r="M84" i="32"/>
  <c r="L84" i="32"/>
  <c r="K84" i="32"/>
  <c r="J84" i="32"/>
  <c r="H84" i="32"/>
  <c r="R84" i="32" s="1"/>
  <c r="G84" i="32"/>
  <c r="Q84" i="32" s="1"/>
  <c r="F84" i="32"/>
  <c r="E84" i="32"/>
  <c r="M83" i="32"/>
  <c r="L83" i="32"/>
  <c r="Q83" i="32" s="1"/>
  <c r="AA83" i="32" s="1"/>
  <c r="K83" i="32"/>
  <c r="J83" i="32"/>
  <c r="M82" i="32"/>
  <c r="R82" i="32" s="1"/>
  <c r="AB82" i="32" s="1"/>
  <c r="L82" i="32"/>
  <c r="K82" i="32"/>
  <c r="J82" i="32"/>
  <c r="M81" i="32"/>
  <c r="L81" i="32"/>
  <c r="K81" i="32"/>
  <c r="J81" i="32"/>
  <c r="H81" i="32"/>
  <c r="G81" i="32"/>
  <c r="F81" i="32"/>
  <c r="E81" i="32"/>
  <c r="M80" i="32"/>
  <c r="L80" i="32"/>
  <c r="K80" i="32"/>
  <c r="J80" i="32"/>
  <c r="H80" i="32"/>
  <c r="R79" i="32" s="1"/>
  <c r="G80" i="32"/>
  <c r="F80" i="32"/>
  <c r="E80" i="32"/>
  <c r="M79" i="32"/>
  <c r="L79" i="32"/>
  <c r="K79" i="32"/>
  <c r="P79" i="32" s="1"/>
  <c r="J79" i="32"/>
  <c r="M78" i="32"/>
  <c r="L78" i="32"/>
  <c r="K78" i="32"/>
  <c r="P78" i="32" s="1"/>
  <c r="J78" i="32"/>
  <c r="M77" i="32"/>
  <c r="L77" i="32"/>
  <c r="K77" i="32"/>
  <c r="J77" i="32"/>
  <c r="H77" i="32"/>
  <c r="G77" i="32"/>
  <c r="F77" i="32"/>
  <c r="E77" i="32"/>
  <c r="M76" i="32"/>
  <c r="L76" i="32"/>
  <c r="K76" i="32"/>
  <c r="J76" i="32"/>
  <c r="H76" i="32"/>
  <c r="G76" i="32"/>
  <c r="F76" i="32"/>
  <c r="E76" i="32"/>
  <c r="M75" i="32"/>
  <c r="L75" i="32"/>
  <c r="K75" i="32"/>
  <c r="P75" i="32" s="1"/>
  <c r="J75" i="32"/>
  <c r="M74" i="32"/>
  <c r="L74" i="32"/>
  <c r="K74" i="32"/>
  <c r="P74" i="32" s="1"/>
  <c r="Z74" i="32" s="1"/>
  <c r="J74" i="32"/>
  <c r="K60" i="32"/>
  <c r="J60" i="32"/>
  <c r="I60" i="32"/>
  <c r="H60" i="32"/>
  <c r="K59" i="32"/>
  <c r="J59" i="32"/>
  <c r="I59" i="32"/>
  <c r="H59" i="32"/>
  <c r="K58" i="32"/>
  <c r="J58" i="32"/>
  <c r="I58" i="32"/>
  <c r="H58" i="32"/>
  <c r="J44" i="32"/>
  <c r="I44" i="32"/>
  <c r="H44" i="32"/>
  <c r="G44" i="32"/>
  <c r="J43" i="32"/>
  <c r="I43" i="32"/>
  <c r="H43" i="32"/>
  <c r="G43" i="32"/>
  <c r="J42" i="32"/>
  <c r="I42" i="32"/>
  <c r="H42" i="32"/>
  <c r="G42" i="32"/>
  <c r="J41" i="32"/>
  <c r="I41" i="32"/>
  <c r="H41" i="32"/>
  <c r="G41" i="32"/>
  <c r="J39" i="32"/>
  <c r="I39" i="32"/>
  <c r="H39" i="32"/>
  <c r="G39" i="32"/>
  <c r="J38" i="32"/>
  <c r="I38" i="32"/>
  <c r="H38" i="32"/>
  <c r="G38" i="32"/>
  <c r="J37" i="32"/>
  <c r="I37" i="32"/>
  <c r="H37" i="32"/>
  <c r="G37" i="32"/>
  <c r="J36" i="32"/>
  <c r="I36" i="32"/>
  <c r="H36" i="32"/>
  <c r="G36" i="32"/>
  <c r="J34" i="32"/>
  <c r="I34" i="32"/>
  <c r="H34" i="32"/>
  <c r="G34" i="32"/>
  <c r="J33" i="32"/>
  <c r="I33" i="32"/>
  <c r="H33" i="32"/>
  <c r="G33" i="32"/>
  <c r="J32" i="32"/>
  <c r="I32" i="32"/>
  <c r="H32" i="32"/>
  <c r="G32" i="32"/>
  <c r="J31" i="32"/>
  <c r="I31" i="32"/>
  <c r="H31" i="32"/>
  <c r="G31" i="32"/>
  <c r="O29" i="32"/>
  <c r="N29" i="32"/>
  <c r="M29" i="32"/>
  <c r="L29" i="32"/>
  <c r="J29" i="32"/>
  <c r="I29" i="32"/>
  <c r="H29" i="32"/>
  <c r="G29" i="32"/>
  <c r="J28" i="32"/>
  <c r="I28" i="32"/>
  <c r="H28" i="32"/>
  <c r="G28" i="32"/>
  <c r="J27" i="32"/>
  <c r="I27" i="32"/>
  <c r="H27" i="32"/>
  <c r="G27" i="32"/>
  <c r="N178" i="31"/>
  <c r="O178" i="31" s="1"/>
  <c r="O177" i="31"/>
  <c r="N177" i="31"/>
  <c r="N176" i="31"/>
  <c r="K176" i="31"/>
  <c r="O176" i="31" s="1"/>
  <c r="N173" i="31"/>
  <c r="N172" i="31"/>
  <c r="N171" i="31"/>
  <c r="J168" i="31"/>
  <c r="L166" i="31"/>
  <c r="L165" i="31"/>
  <c r="L164" i="31"/>
  <c r="L163" i="31"/>
  <c r="L162" i="31"/>
  <c r="L161" i="31"/>
  <c r="L160" i="31"/>
  <c r="L168" i="31" s="1"/>
  <c r="L126" i="31"/>
  <c r="K119" i="31"/>
  <c r="V104" i="31"/>
  <c r="V103" i="31"/>
  <c r="U84" i="31"/>
  <c r="O73" i="31"/>
  <c r="R72" i="31"/>
  <c r="R119" i="31" s="1"/>
  <c r="Q72" i="31"/>
  <c r="Q119" i="31" s="1"/>
  <c r="P72" i="31"/>
  <c r="P119" i="31" s="1"/>
  <c r="O72" i="31"/>
  <c r="R71" i="31"/>
  <c r="R118" i="31" s="1"/>
  <c r="Q71" i="31"/>
  <c r="Q118" i="31" s="1"/>
  <c r="P71" i="31"/>
  <c r="P118" i="31" s="1"/>
  <c r="O71" i="31"/>
  <c r="O118" i="31" s="1"/>
  <c r="R70" i="31"/>
  <c r="R117" i="31" s="1"/>
  <c r="Q70" i="31"/>
  <c r="Q117" i="31" s="1"/>
  <c r="P70" i="31"/>
  <c r="P117" i="31" s="1"/>
  <c r="O70" i="31"/>
  <c r="O117" i="31" s="1"/>
  <c r="Q69" i="31"/>
  <c r="R69" i="31" s="1"/>
  <c r="P69" i="31"/>
  <c r="U68" i="31"/>
  <c r="S68" i="31"/>
  <c r="R68" i="31"/>
  <c r="Q68" i="31"/>
  <c r="T67" i="31"/>
  <c r="U67" i="31" s="1"/>
  <c r="S67" i="31"/>
  <c r="Q67" i="31"/>
  <c r="R67" i="31" s="1"/>
  <c r="K67" i="31"/>
  <c r="R66" i="31"/>
  <c r="Q66" i="31"/>
  <c r="K66" i="31"/>
  <c r="K65" i="31"/>
  <c r="K64" i="31"/>
  <c r="K63" i="31"/>
  <c r="K62" i="31"/>
  <c r="K69" i="31" s="1"/>
  <c r="G60" i="31"/>
  <c r="F60" i="31"/>
  <c r="E60" i="31"/>
  <c r="D60" i="31"/>
  <c r="R59" i="31"/>
  <c r="Q59" i="31"/>
  <c r="P59" i="31"/>
  <c r="O59" i="31"/>
  <c r="O60" i="31" s="1"/>
  <c r="R58" i="31"/>
  <c r="Q58" i="31"/>
  <c r="P58" i="31"/>
  <c r="O58" i="31"/>
  <c r="AT57" i="31"/>
  <c r="R57" i="31"/>
  <c r="Q57" i="31"/>
  <c r="P57" i="31"/>
  <c r="O57" i="31"/>
  <c r="R56" i="31"/>
  <c r="Q56" i="31"/>
  <c r="P56" i="31"/>
  <c r="O56" i="31"/>
  <c r="BB55" i="31"/>
  <c r="BB54" i="31"/>
  <c r="R53" i="31"/>
  <c r="R60" i="31" s="1"/>
  <c r="Q53" i="31"/>
  <c r="P53" i="31"/>
  <c r="P60" i="31" s="1"/>
  <c r="O53" i="31"/>
  <c r="R52" i="31"/>
  <c r="Q52" i="31"/>
  <c r="P52" i="31"/>
  <c r="O52" i="31"/>
  <c r="R51" i="31"/>
  <c r="Q51" i="31"/>
  <c r="P51" i="31"/>
  <c r="O51" i="31"/>
  <c r="R50" i="31"/>
  <c r="Q50" i="31"/>
  <c r="P50" i="31"/>
  <c r="O50" i="31"/>
  <c r="AY49" i="31"/>
  <c r="AY48" i="31"/>
  <c r="AV48" i="31"/>
  <c r="AV49" i="31" s="1"/>
  <c r="AV47" i="31"/>
  <c r="R45" i="31"/>
  <c r="Q45" i="31"/>
  <c r="P45" i="31"/>
  <c r="O45" i="31"/>
  <c r="L45" i="31"/>
  <c r="K45" i="31"/>
  <c r="J45" i="31"/>
  <c r="I45" i="31"/>
  <c r="A45" i="31"/>
  <c r="R44" i="31"/>
  <c r="Q44" i="31"/>
  <c r="P44" i="31"/>
  <c r="O44" i="31"/>
  <c r="L44" i="31"/>
  <c r="K44" i="31"/>
  <c r="J44" i="31"/>
  <c r="I44" i="31"/>
  <c r="A44" i="31"/>
  <c r="R43" i="31"/>
  <c r="Q43" i="31"/>
  <c r="P43" i="31"/>
  <c r="O43" i="31"/>
  <c r="L43" i="31"/>
  <c r="K43" i="31"/>
  <c r="J43" i="31"/>
  <c r="I43" i="31"/>
  <c r="A43" i="31"/>
  <c r="R42" i="31"/>
  <c r="Q42" i="31"/>
  <c r="P42" i="31"/>
  <c r="O42" i="31"/>
  <c r="L42" i="31"/>
  <c r="K42" i="31"/>
  <c r="J42" i="31"/>
  <c r="I42" i="31"/>
  <c r="A42" i="31"/>
  <c r="R41" i="31"/>
  <c r="Q41" i="31"/>
  <c r="P41" i="31"/>
  <c r="O41" i="31"/>
  <c r="L41" i="31"/>
  <c r="K41" i="31"/>
  <c r="J41" i="31"/>
  <c r="I41" i="31"/>
  <c r="A41" i="31"/>
  <c r="R40" i="31"/>
  <c r="Q40" i="31"/>
  <c r="P40" i="31"/>
  <c r="O40" i="31"/>
  <c r="L40" i="31"/>
  <c r="K40" i="31"/>
  <c r="J40" i="31"/>
  <c r="I40" i="31"/>
  <c r="A40" i="31"/>
  <c r="R39" i="31"/>
  <c r="Q39" i="31"/>
  <c r="P39" i="31"/>
  <c r="O39" i="31"/>
  <c r="L39" i="31"/>
  <c r="K39" i="31"/>
  <c r="J39" i="31"/>
  <c r="I39" i="31"/>
  <c r="A39" i="31"/>
  <c r="R38" i="31"/>
  <c r="Q38" i="31"/>
  <c r="P38" i="31"/>
  <c r="O38" i="31"/>
  <c r="L38" i="31"/>
  <c r="K38" i="31"/>
  <c r="J38" i="31"/>
  <c r="I38" i="31"/>
  <c r="A38" i="31"/>
  <c r="R37" i="31"/>
  <c r="Q37" i="31"/>
  <c r="P37" i="31"/>
  <c r="O37" i="31"/>
  <c r="L37" i="31"/>
  <c r="K37" i="31"/>
  <c r="J37" i="31"/>
  <c r="I37" i="31"/>
  <c r="A37" i="31"/>
  <c r="R36" i="31"/>
  <c r="Q36" i="31"/>
  <c r="P36" i="31"/>
  <c r="O36" i="31"/>
  <c r="L36" i="31"/>
  <c r="K36" i="31"/>
  <c r="J36" i="31"/>
  <c r="I36" i="31"/>
  <c r="A36" i="31"/>
  <c r="R35" i="31"/>
  <c r="Q35" i="31"/>
  <c r="P35" i="31"/>
  <c r="O35" i="31"/>
  <c r="L35" i="31"/>
  <c r="K35" i="31"/>
  <c r="J35" i="31"/>
  <c r="I35" i="31"/>
  <c r="A35" i="31"/>
  <c r="R34" i="31"/>
  <c r="Q34" i="31"/>
  <c r="P34" i="31"/>
  <c r="O34" i="31"/>
  <c r="L34" i="31"/>
  <c r="K34" i="31"/>
  <c r="J34" i="31"/>
  <c r="I34" i="31"/>
  <c r="A34" i="31"/>
  <c r="R33" i="31"/>
  <c r="Q33" i="31"/>
  <c r="P33" i="31"/>
  <c r="O33" i="31"/>
  <c r="L33" i="31"/>
  <c r="K33" i="31"/>
  <c r="J33" i="31"/>
  <c r="I33" i="31"/>
  <c r="A33" i="31"/>
  <c r="R32" i="31"/>
  <c r="Q32" i="31"/>
  <c r="P32" i="31"/>
  <c r="O32" i="31"/>
  <c r="L32" i="31"/>
  <c r="K32" i="31"/>
  <c r="J32" i="31"/>
  <c r="I32" i="31"/>
  <c r="A32" i="31"/>
  <c r="R31" i="31"/>
  <c r="Q31" i="31"/>
  <c r="P31" i="31"/>
  <c r="O31" i="31"/>
  <c r="L31" i="31"/>
  <c r="K31" i="31"/>
  <c r="J31" i="31"/>
  <c r="I31" i="31"/>
  <c r="A31" i="31"/>
  <c r="R30" i="31"/>
  <c r="Q30" i="31"/>
  <c r="P30" i="31"/>
  <c r="O30" i="31"/>
  <c r="L30" i="31"/>
  <c r="K30" i="31"/>
  <c r="K52" i="31" s="1"/>
  <c r="J30" i="31"/>
  <c r="I30" i="31"/>
  <c r="A30" i="31"/>
  <c r="R27" i="31"/>
  <c r="R91" i="31" s="1"/>
  <c r="Q27" i="31"/>
  <c r="Q91" i="31" s="1"/>
  <c r="P27" i="31"/>
  <c r="P91" i="31" s="1"/>
  <c r="O27" i="31"/>
  <c r="L27" i="31"/>
  <c r="K27" i="31"/>
  <c r="J27" i="31"/>
  <c r="I27" i="31"/>
  <c r="R26" i="31"/>
  <c r="R87" i="31" s="1"/>
  <c r="Q26" i="31"/>
  <c r="Q87" i="31" s="1"/>
  <c r="P26" i="31"/>
  <c r="P86" i="31" s="1"/>
  <c r="O26" i="31"/>
  <c r="L26" i="31"/>
  <c r="K26" i="31"/>
  <c r="J26" i="31"/>
  <c r="I26" i="31"/>
  <c r="R25" i="31"/>
  <c r="Q25" i="31"/>
  <c r="P25" i="31"/>
  <c r="O25" i="31"/>
  <c r="K130" i="31" s="1"/>
  <c r="L25" i="31"/>
  <c r="K25" i="31"/>
  <c r="J25" i="31"/>
  <c r="I25" i="31"/>
  <c r="R24" i="31"/>
  <c r="Q24" i="31"/>
  <c r="P24" i="31"/>
  <c r="O24" i="31"/>
  <c r="K129" i="31" s="1"/>
  <c r="L24" i="31"/>
  <c r="K24" i="31"/>
  <c r="J24" i="31"/>
  <c r="I24" i="31"/>
  <c r="R23" i="31"/>
  <c r="Q23" i="31"/>
  <c r="P23" i="31"/>
  <c r="P82" i="31" s="1"/>
  <c r="E74" i="31" s="1"/>
  <c r="O23" i="31"/>
  <c r="L23" i="31"/>
  <c r="L51" i="31" s="1"/>
  <c r="K23" i="31"/>
  <c r="K51" i="31" s="1"/>
  <c r="J23" i="31"/>
  <c r="J51" i="31" s="1"/>
  <c r="I23" i="31"/>
  <c r="I51" i="31" s="1"/>
  <c r="R20" i="31"/>
  <c r="Q20" i="31"/>
  <c r="P20" i="31"/>
  <c r="O20" i="31"/>
  <c r="L14" i="31"/>
  <c r="L50" i="31" s="1"/>
  <c r="L13" i="31"/>
  <c r="K13" i="31"/>
  <c r="K14" i="31" s="1"/>
  <c r="K48" i="31" s="1"/>
  <c r="K79" i="31" s="1"/>
  <c r="J13" i="31"/>
  <c r="J14" i="31" s="1"/>
  <c r="I13" i="31"/>
  <c r="I14" i="31" s="1"/>
  <c r="L12" i="31"/>
  <c r="K12" i="31"/>
  <c r="J12" i="31"/>
  <c r="I12" i="31"/>
  <c r="L11" i="31"/>
  <c r="K11" i="31"/>
  <c r="J11" i="31"/>
  <c r="I11" i="31"/>
  <c r="L10" i="31"/>
  <c r="K10" i="31"/>
  <c r="J10" i="31"/>
  <c r="I10" i="31"/>
  <c r="L9" i="31"/>
  <c r="K9" i="31"/>
  <c r="J9" i="31"/>
  <c r="I9" i="31"/>
  <c r="L8" i="31"/>
  <c r="K8" i="31"/>
  <c r="J8" i="31"/>
  <c r="I8" i="31"/>
  <c r="K176" i="30"/>
  <c r="O178" i="30" s="1"/>
  <c r="J168" i="30"/>
  <c r="L166" i="30"/>
  <c r="L165" i="30"/>
  <c r="L164" i="30"/>
  <c r="L163" i="30"/>
  <c r="L162" i="30"/>
  <c r="L161" i="30"/>
  <c r="L160" i="30"/>
  <c r="L168" i="30" s="1"/>
  <c r="L126" i="30"/>
  <c r="V104" i="30"/>
  <c r="V103" i="30"/>
  <c r="U84" i="30"/>
  <c r="Q69" i="30"/>
  <c r="R69" i="30" s="1"/>
  <c r="P69" i="30"/>
  <c r="U68" i="30"/>
  <c r="S68" i="30"/>
  <c r="R68" i="30"/>
  <c r="Q68" i="30"/>
  <c r="T67" i="30"/>
  <c r="U67" i="30" s="1"/>
  <c r="S67" i="30"/>
  <c r="Q67" i="30"/>
  <c r="R67" i="30" s="1"/>
  <c r="K67" i="30"/>
  <c r="R66" i="30"/>
  <c r="Q66" i="30"/>
  <c r="K66" i="30"/>
  <c r="K65" i="30"/>
  <c r="K64" i="30"/>
  <c r="K63" i="30"/>
  <c r="K62" i="30"/>
  <c r="K69" i="30" s="1"/>
  <c r="AT57" i="30"/>
  <c r="R56" i="30"/>
  <c r="P56" i="30"/>
  <c r="O56" i="30"/>
  <c r="BB55" i="30"/>
  <c r="BB54" i="30"/>
  <c r="AY49" i="30"/>
  <c r="AV49" i="30"/>
  <c r="AY48" i="30"/>
  <c r="AV48" i="30"/>
  <c r="AV47" i="30"/>
  <c r="R45" i="30"/>
  <c r="Q45" i="30"/>
  <c r="P45" i="30"/>
  <c r="O45" i="30"/>
  <c r="L45" i="30"/>
  <c r="K45" i="30"/>
  <c r="J45" i="30"/>
  <c r="I45" i="30"/>
  <c r="A45" i="30"/>
  <c r="R44" i="30"/>
  <c r="Q44" i="30"/>
  <c r="P44" i="30"/>
  <c r="O44" i="30"/>
  <c r="L44" i="30"/>
  <c r="K44" i="30"/>
  <c r="J44" i="30"/>
  <c r="I44" i="30"/>
  <c r="A44" i="30"/>
  <c r="R43" i="30"/>
  <c r="Q43" i="30"/>
  <c r="P43" i="30"/>
  <c r="O43" i="30"/>
  <c r="L43" i="30"/>
  <c r="K43" i="30"/>
  <c r="J43" i="30"/>
  <c r="I43" i="30"/>
  <c r="A43" i="30"/>
  <c r="R42" i="30"/>
  <c r="Q42" i="30"/>
  <c r="P42" i="30"/>
  <c r="O42" i="30"/>
  <c r="L42" i="30"/>
  <c r="K42" i="30"/>
  <c r="J42" i="30"/>
  <c r="I42" i="30"/>
  <c r="A42" i="30"/>
  <c r="R41" i="30"/>
  <c r="Q41" i="30"/>
  <c r="P41" i="30"/>
  <c r="O41" i="30"/>
  <c r="L41" i="30"/>
  <c r="K41" i="30"/>
  <c r="J41" i="30"/>
  <c r="I41" i="30"/>
  <c r="A41" i="30"/>
  <c r="R40" i="30"/>
  <c r="Q40" i="30"/>
  <c r="P40" i="30"/>
  <c r="O40" i="30"/>
  <c r="L40" i="30"/>
  <c r="K40" i="30"/>
  <c r="J40" i="30"/>
  <c r="I40" i="30"/>
  <c r="A40" i="30"/>
  <c r="R39" i="30"/>
  <c r="Q39" i="30"/>
  <c r="P39" i="30"/>
  <c r="O39" i="30"/>
  <c r="L39" i="30"/>
  <c r="K39" i="30"/>
  <c r="J39" i="30"/>
  <c r="I39" i="30"/>
  <c r="A39" i="30"/>
  <c r="R38" i="30"/>
  <c r="Q38" i="30"/>
  <c r="P38" i="30"/>
  <c r="O38" i="30"/>
  <c r="L38" i="30"/>
  <c r="K38" i="30"/>
  <c r="J38" i="30"/>
  <c r="I38" i="30"/>
  <c r="A38" i="30"/>
  <c r="R37" i="30"/>
  <c r="Q37" i="30"/>
  <c r="P37" i="30"/>
  <c r="O37" i="30"/>
  <c r="L37" i="30"/>
  <c r="K37" i="30"/>
  <c r="J37" i="30"/>
  <c r="I37" i="30"/>
  <c r="A37" i="30"/>
  <c r="R36" i="30"/>
  <c r="Q36" i="30"/>
  <c r="P36" i="30"/>
  <c r="O36" i="30"/>
  <c r="L36" i="30"/>
  <c r="K36" i="30"/>
  <c r="J36" i="30"/>
  <c r="I36" i="30"/>
  <c r="A36" i="30"/>
  <c r="R35" i="30"/>
  <c r="Q35" i="30"/>
  <c r="P35" i="30"/>
  <c r="O35" i="30"/>
  <c r="L35" i="30"/>
  <c r="K35" i="30"/>
  <c r="J35" i="30"/>
  <c r="I35" i="30"/>
  <c r="A35" i="30"/>
  <c r="R34" i="30"/>
  <c r="Q34" i="30"/>
  <c r="P34" i="30"/>
  <c r="O34" i="30"/>
  <c r="L34" i="30"/>
  <c r="K34" i="30"/>
  <c r="J34" i="30"/>
  <c r="I34" i="30"/>
  <c r="A34" i="30"/>
  <c r="R33" i="30"/>
  <c r="Q33" i="30"/>
  <c r="P33" i="30"/>
  <c r="O33" i="30"/>
  <c r="L33" i="30"/>
  <c r="K33" i="30"/>
  <c r="J33" i="30"/>
  <c r="I33" i="30"/>
  <c r="A33" i="30"/>
  <c r="R32" i="30"/>
  <c r="Q32" i="30"/>
  <c r="P32" i="30"/>
  <c r="O32" i="30"/>
  <c r="L32" i="30"/>
  <c r="K32" i="30"/>
  <c r="J32" i="30"/>
  <c r="I32" i="30"/>
  <c r="A32" i="30"/>
  <c r="L31" i="30"/>
  <c r="K31" i="30"/>
  <c r="I31" i="30"/>
  <c r="R58" i="30"/>
  <c r="Q58" i="30"/>
  <c r="P31" i="30"/>
  <c r="O31" i="30"/>
  <c r="A31" i="30"/>
  <c r="R30" i="30"/>
  <c r="Q30" i="30"/>
  <c r="P30" i="30"/>
  <c r="O30" i="30"/>
  <c r="L30" i="30"/>
  <c r="K30" i="30"/>
  <c r="J30" i="30"/>
  <c r="I30" i="30"/>
  <c r="A30" i="30"/>
  <c r="R27" i="30"/>
  <c r="R91" i="30" s="1"/>
  <c r="Q27" i="30"/>
  <c r="Q91" i="30" s="1"/>
  <c r="P27" i="30"/>
  <c r="P91" i="30" s="1"/>
  <c r="O27" i="30"/>
  <c r="O91" i="30" s="1"/>
  <c r="L27" i="30"/>
  <c r="K27" i="30"/>
  <c r="J27" i="30"/>
  <c r="I27" i="30"/>
  <c r="L26" i="30"/>
  <c r="J26" i="30"/>
  <c r="I26" i="30"/>
  <c r="Q51" i="30"/>
  <c r="P51" i="30"/>
  <c r="O51" i="30"/>
  <c r="R25" i="30"/>
  <c r="Q25" i="30"/>
  <c r="P25" i="30"/>
  <c r="O25" i="30"/>
  <c r="K130" i="30" s="1"/>
  <c r="L25" i="30"/>
  <c r="K25" i="30"/>
  <c r="J25" i="30"/>
  <c r="I25" i="30"/>
  <c r="R24" i="30"/>
  <c r="Q24" i="30"/>
  <c r="P24" i="30"/>
  <c r="O24" i="30"/>
  <c r="K129" i="30" s="1"/>
  <c r="L24" i="30"/>
  <c r="K24" i="30"/>
  <c r="J24" i="30"/>
  <c r="I24" i="30"/>
  <c r="R23" i="30"/>
  <c r="Q23" i="30"/>
  <c r="P23" i="30"/>
  <c r="O23" i="30"/>
  <c r="O82" i="30" s="1"/>
  <c r="L23" i="30"/>
  <c r="K23" i="30"/>
  <c r="J23" i="30"/>
  <c r="I23" i="30"/>
  <c r="R20" i="30"/>
  <c r="Q20" i="30"/>
  <c r="P20" i="30"/>
  <c r="O20" i="30"/>
  <c r="K126" i="30" s="1"/>
  <c r="J14" i="30"/>
  <c r="J50" i="30" s="1"/>
  <c r="L13" i="30"/>
  <c r="L14" i="30" s="1"/>
  <c r="K13" i="30"/>
  <c r="K14" i="30" s="1"/>
  <c r="J13" i="30"/>
  <c r="I13" i="30"/>
  <c r="I14" i="30" s="1"/>
  <c r="L12" i="30"/>
  <c r="K12" i="30"/>
  <c r="J12" i="30"/>
  <c r="I12" i="30"/>
  <c r="L11" i="30"/>
  <c r="K11" i="30"/>
  <c r="J11" i="30"/>
  <c r="I11" i="30"/>
  <c r="L10" i="30"/>
  <c r="K10" i="30"/>
  <c r="J10" i="30"/>
  <c r="I10" i="30"/>
  <c r="L9" i="30"/>
  <c r="K9" i="30"/>
  <c r="J9" i="30"/>
  <c r="I9" i="30"/>
  <c r="L8" i="30"/>
  <c r="K8" i="30"/>
  <c r="J8" i="30"/>
  <c r="I8" i="30"/>
  <c r="AK94" i="33" l="1"/>
  <c r="AF88" i="33"/>
  <c r="AF89" i="33"/>
  <c r="AK93" i="33"/>
  <c r="AF93" i="33"/>
  <c r="AK75" i="33"/>
  <c r="AF97" i="33"/>
  <c r="AK88" i="33"/>
  <c r="AF81" i="33"/>
  <c r="AF75" i="33"/>
  <c r="AJ89" i="33"/>
  <c r="AJ75" i="33"/>
  <c r="AD91" i="33"/>
  <c r="AI87" i="33"/>
  <c r="AE89" i="33"/>
  <c r="AF77" i="33"/>
  <c r="AF95" i="33"/>
  <c r="AF82" i="33"/>
  <c r="AF80" i="33"/>
  <c r="AF74" i="33"/>
  <c r="AI81" i="33"/>
  <c r="AF86" i="33"/>
  <c r="AI74" i="33"/>
  <c r="AL80" i="33"/>
  <c r="AL94" i="33"/>
  <c r="AF94" i="33"/>
  <c r="AL83" i="33"/>
  <c r="AD81" i="33"/>
  <c r="AL79" i="33"/>
  <c r="AL76" i="33"/>
  <c r="AI84" i="33"/>
  <c r="AI82" i="33"/>
  <c r="AF79" i="33"/>
  <c r="AE74" i="33"/>
  <c r="AI90" i="33"/>
  <c r="AI108" i="33"/>
  <c r="Q208" i="33"/>
  <c r="AJ76" i="33"/>
  <c r="P233" i="33"/>
  <c r="R223" i="33"/>
  <c r="AB223" i="33" s="1"/>
  <c r="R249" i="33"/>
  <c r="W249" i="33" s="1"/>
  <c r="AI88" i="33"/>
  <c r="O235" i="33"/>
  <c r="Y235" i="33" s="1"/>
  <c r="AB90" i="33"/>
  <c r="AF78" i="33"/>
  <c r="Y94" i="33"/>
  <c r="AI94" i="33"/>
  <c r="R248" i="33"/>
  <c r="AG248" i="33" s="1"/>
  <c r="Q235" i="33"/>
  <c r="AA75" i="33"/>
  <c r="T97" i="33"/>
  <c r="O227" i="33"/>
  <c r="AD227" i="33" s="1"/>
  <c r="V77" i="33"/>
  <c r="AA79" i="33"/>
  <c r="AG90" i="33"/>
  <c r="AJ74" i="33"/>
  <c r="T85" i="33"/>
  <c r="U76" i="33"/>
  <c r="W90" i="33"/>
  <c r="O254" i="33"/>
  <c r="Y254" i="33" s="1"/>
  <c r="AL93" i="33"/>
  <c r="T77" i="33"/>
  <c r="AF110" i="33"/>
  <c r="O234" i="33"/>
  <c r="Y234" i="33" s="1"/>
  <c r="AA110" i="33"/>
  <c r="O215" i="33"/>
  <c r="AD215" i="33" s="1"/>
  <c r="AE76" i="33"/>
  <c r="Z76" i="33"/>
  <c r="Y89" i="33"/>
  <c r="P236" i="33"/>
  <c r="P212" i="33"/>
  <c r="Q227" i="33"/>
  <c r="AA227" i="33" s="1"/>
  <c r="T87" i="33"/>
  <c r="O207" i="33"/>
  <c r="Y207" i="33" s="1"/>
  <c r="AJ78" i="33"/>
  <c r="Y85" i="33"/>
  <c r="AI93" i="33"/>
  <c r="P208" i="33"/>
  <c r="AE208" i="33" s="1"/>
  <c r="R252" i="33"/>
  <c r="T93" i="33"/>
  <c r="U79" i="33"/>
  <c r="P235" i="33"/>
  <c r="AE235" i="33" s="1"/>
  <c r="AE79" i="33"/>
  <c r="T89" i="33"/>
  <c r="O223" i="33"/>
  <c r="AE78" i="33"/>
  <c r="AD78" i="33"/>
  <c r="Y93" i="33"/>
  <c r="AJ79" i="33"/>
  <c r="U82" i="33"/>
  <c r="V97" i="33"/>
  <c r="T78" i="33"/>
  <c r="Z79" i="33"/>
  <c r="Z82" i="33"/>
  <c r="P193" i="33"/>
  <c r="P165" i="33"/>
  <c r="AJ125" i="33"/>
  <c r="Z125" i="33"/>
  <c r="U125" i="33"/>
  <c r="AE125" i="33"/>
  <c r="AA219" i="33"/>
  <c r="V219" i="33"/>
  <c r="AF219" i="33"/>
  <c r="AD219" i="33"/>
  <c r="T219" i="33"/>
  <c r="Y219" i="33"/>
  <c r="Y204" i="33"/>
  <c r="AD204" i="33"/>
  <c r="T204" i="33"/>
  <c r="AA224" i="33"/>
  <c r="AF224" i="33"/>
  <c r="V224" i="33"/>
  <c r="AE249" i="33"/>
  <c r="U249" i="33"/>
  <c r="Z249" i="33"/>
  <c r="R199" i="33"/>
  <c r="R171" i="33"/>
  <c r="AL131" i="33"/>
  <c r="W131" i="33"/>
  <c r="AG131" i="33"/>
  <c r="AB131" i="33"/>
  <c r="AF244" i="33"/>
  <c r="V244" i="33"/>
  <c r="AA244" i="33"/>
  <c r="AA205" i="33"/>
  <c r="AF205" i="33"/>
  <c r="V205" i="33"/>
  <c r="Q197" i="33"/>
  <c r="Q169" i="33"/>
  <c r="AK129" i="33"/>
  <c r="AA129" i="33"/>
  <c r="AF129" i="33"/>
  <c r="V129" i="33"/>
  <c r="Z216" i="33"/>
  <c r="AE216" i="33"/>
  <c r="U216" i="33"/>
  <c r="AF152" i="33"/>
  <c r="V152" i="33"/>
  <c r="AA152" i="33"/>
  <c r="P194" i="33"/>
  <c r="P166" i="33"/>
  <c r="AJ126" i="33"/>
  <c r="Z126" i="33"/>
  <c r="U126" i="33"/>
  <c r="AE126" i="33"/>
  <c r="P224" i="33"/>
  <c r="P251" i="33"/>
  <c r="AJ94" i="33"/>
  <c r="Z94" i="33"/>
  <c r="U94" i="33"/>
  <c r="AE94" i="33"/>
  <c r="Q192" i="33"/>
  <c r="Q164" i="33"/>
  <c r="V124" i="33"/>
  <c r="AK124" i="33"/>
  <c r="AF124" i="33"/>
  <c r="AA124" i="33"/>
  <c r="P188" i="33"/>
  <c r="AJ120" i="33"/>
  <c r="Z120" i="33"/>
  <c r="P160" i="33"/>
  <c r="U120" i="33"/>
  <c r="AE120" i="33"/>
  <c r="R184" i="33"/>
  <c r="R156" i="33"/>
  <c r="AG116" i="33"/>
  <c r="W116" i="33"/>
  <c r="AL116" i="33"/>
  <c r="AB116" i="33"/>
  <c r="Q182" i="33"/>
  <c r="Q154" i="33"/>
  <c r="AF114" i="33"/>
  <c r="AK114" i="33"/>
  <c r="AA114" i="33"/>
  <c r="V114" i="33"/>
  <c r="AF254" i="33"/>
  <c r="V254" i="33"/>
  <c r="AA254" i="33"/>
  <c r="R182" i="33"/>
  <c r="AG114" i="33"/>
  <c r="W114" i="33"/>
  <c r="R154" i="33"/>
  <c r="AL114" i="33"/>
  <c r="AB114" i="33"/>
  <c r="AA223" i="33"/>
  <c r="AF223" i="33"/>
  <c r="V223" i="33"/>
  <c r="Y246" i="33"/>
  <c r="AD246" i="33"/>
  <c r="T246" i="33"/>
  <c r="AG239" i="33"/>
  <c r="W239" i="33"/>
  <c r="AB239" i="33"/>
  <c r="Y231" i="33"/>
  <c r="AD231" i="33"/>
  <c r="T231" i="33"/>
  <c r="O195" i="33"/>
  <c r="O167" i="33"/>
  <c r="AI127" i="33"/>
  <c r="Y127" i="33"/>
  <c r="T127" i="33"/>
  <c r="AD127" i="33"/>
  <c r="AJ87" i="33"/>
  <c r="P184" i="33"/>
  <c r="AJ116" i="33"/>
  <c r="Z116" i="33"/>
  <c r="P156" i="33"/>
  <c r="U116" i="33"/>
  <c r="AE116" i="33"/>
  <c r="O181" i="33"/>
  <c r="AI113" i="33"/>
  <c r="Y113" i="33"/>
  <c r="O153" i="33"/>
  <c r="T113" i="33"/>
  <c r="AD113" i="33"/>
  <c r="AE77" i="33"/>
  <c r="Y244" i="33"/>
  <c r="T244" i="33"/>
  <c r="AD244" i="33"/>
  <c r="R176" i="33"/>
  <c r="AG108" i="33"/>
  <c r="W108" i="33"/>
  <c r="AB108" i="33"/>
  <c r="R148" i="33"/>
  <c r="AL108" i="33"/>
  <c r="Z222" i="33"/>
  <c r="AE222" i="33"/>
  <c r="U222" i="33"/>
  <c r="P214" i="33"/>
  <c r="P241" i="33"/>
  <c r="U84" i="33"/>
  <c r="AE84" i="33"/>
  <c r="Z84" i="33"/>
  <c r="AJ84" i="33"/>
  <c r="AD221" i="33"/>
  <c r="T221" i="33"/>
  <c r="Y221" i="33"/>
  <c r="AI95" i="33"/>
  <c r="R218" i="33"/>
  <c r="R245" i="33"/>
  <c r="AL88" i="33"/>
  <c r="AB88" i="33"/>
  <c r="W88" i="33"/>
  <c r="AG88" i="33"/>
  <c r="W151" i="33"/>
  <c r="AG151" i="33"/>
  <c r="AB151" i="33"/>
  <c r="Z218" i="33"/>
  <c r="AE218" i="33"/>
  <c r="U218" i="33"/>
  <c r="R198" i="33"/>
  <c r="R170" i="33"/>
  <c r="AB130" i="33"/>
  <c r="AL130" i="33"/>
  <c r="AG130" i="33"/>
  <c r="W130" i="33"/>
  <c r="AA217" i="33"/>
  <c r="V217" i="33"/>
  <c r="AF217" i="33"/>
  <c r="AA209" i="33"/>
  <c r="V209" i="33"/>
  <c r="AF209" i="33"/>
  <c r="AA207" i="33"/>
  <c r="AF207" i="33"/>
  <c r="V207" i="33"/>
  <c r="AF232" i="33"/>
  <c r="V232" i="33"/>
  <c r="AA232" i="33"/>
  <c r="W219" i="33"/>
  <c r="AG219" i="33"/>
  <c r="AB219" i="33"/>
  <c r="O177" i="33"/>
  <c r="O149" i="33"/>
  <c r="AI109" i="33"/>
  <c r="T109" i="33"/>
  <c r="AD109" i="33"/>
  <c r="Y109" i="33"/>
  <c r="Q198" i="33"/>
  <c r="Q170" i="33"/>
  <c r="AK130" i="33"/>
  <c r="AA130" i="33"/>
  <c r="AF130" i="33"/>
  <c r="V130" i="33"/>
  <c r="W220" i="33"/>
  <c r="AG220" i="33"/>
  <c r="AB220" i="33"/>
  <c r="AF245" i="33"/>
  <c r="V245" i="33"/>
  <c r="AA245" i="33"/>
  <c r="P177" i="33"/>
  <c r="AJ109" i="33"/>
  <c r="Z109" i="33"/>
  <c r="P149" i="33"/>
  <c r="AE109" i="33"/>
  <c r="U109" i="33"/>
  <c r="R195" i="33"/>
  <c r="R167" i="33"/>
  <c r="AG127" i="33"/>
  <c r="W127" i="33"/>
  <c r="AL127" i="33"/>
  <c r="AB127" i="33"/>
  <c r="AF240" i="33"/>
  <c r="V240" i="33"/>
  <c r="AA240" i="33"/>
  <c r="AD211" i="33"/>
  <c r="T211" i="33"/>
  <c r="Y211" i="33"/>
  <c r="AG206" i="33"/>
  <c r="W206" i="33"/>
  <c r="AB206" i="33"/>
  <c r="AF243" i="33"/>
  <c r="V243" i="33"/>
  <c r="AA243" i="33"/>
  <c r="Y176" i="33"/>
  <c r="AD176" i="33"/>
  <c r="T176" i="33"/>
  <c r="AL78" i="33"/>
  <c r="Z226" i="33"/>
  <c r="AE226" i="33"/>
  <c r="U226" i="33"/>
  <c r="AF85" i="33"/>
  <c r="AD79" i="33"/>
  <c r="AJ82" i="33"/>
  <c r="AF180" i="33"/>
  <c r="V180" i="33"/>
  <c r="AA180" i="33"/>
  <c r="AG242" i="33"/>
  <c r="W242" i="33"/>
  <c r="AB242" i="33"/>
  <c r="R181" i="33"/>
  <c r="R153" i="33"/>
  <c r="AG113" i="33"/>
  <c r="W113" i="33"/>
  <c r="AL113" i="33"/>
  <c r="AB113" i="33"/>
  <c r="AF250" i="33"/>
  <c r="V250" i="33"/>
  <c r="AA250" i="33"/>
  <c r="O194" i="33"/>
  <c r="O166" i="33"/>
  <c r="AI126" i="33"/>
  <c r="Y126" i="33"/>
  <c r="T126" i="33"/>
  <c r="AD126" i="33"/>
  <c r="O180" i="33"/>
  <c r="AI112" i="33"/>
  <c r="Y112" i="33"/>
  <c r="O152" i="33"/>
  <c r="T112" i="33"/>
  <c r="AD112" i="33"/>
  <c r="O187" i="33"/>
  <c r="O159" i="33"/>
  <c r="AI119" i="33"/>
  <c r="Y119" i="33"/>
  <c r="T119" i="33"/>
  <c r="AD119" i="33"/>
  <c r="Q176" i="33"/>
  <c r="Q148" i="33"/>
  <c r="AF108" i="33"/>
  <c r="V108" i="33"/>
  <c r="AA108" i="33"/>
  <c r="AK108" i="33"/>
  <c r="W221" i="33"/>
  <c r="AG221" i="33"/>
  <c r="AB221" i="33"/>
  <c r="R191" i="33"/>
  <c r="AG123" i="33"/>
  <c r="W123" i="33"/>
  <c r="AL123" i="33"/>
  <c r="R163" i="33"/>
  <c r="AB123" i="33"/>
  <c r="P176" i="33"/>
  <c r="P148" i="33"/>
  <c r="AJ108" i="33"/>
  <c r="Z108" i="33"/>
  <c r="U108" i="33"/>
  <c r="AE108" i="33"/>
  <c r="R166" i="33"/>
  <c r="R194" i="33"/>
  <c r="AG126" i="33"/>
  <c r="W126" i="33"/>
  <c r="AL126" i="33"/>
  <c r="AB126" i="33"/>
  <c r="Z211" i="33"/>
  <c r="AE211" i="33"/>
  <c r="U211" i="33"/>
  <c r="AE233" i="33"/>
  <c r="U233" i="33"/>
  <c r="Z233" i="33"/>
  <c r="AD148" i="33"/>
  <c r="T148" i="33"/>
  <c r="Y148" i="33"/>
  <c r="AE253" i="33"/>
  <c r="U253" i="33"/>
  <c r="Z253" i="33"/>
  <c r="P195" i="33"/>
  <c r="P167" i="33"/>
  <c r="AJ127" i="33"/>
  <c r="Z127" i="33"/>
  <c r="U127" i="33"/>
  <c r="AE127" i="33"/>
  <c r="AD97" i="33"/>
  <c r="P225" i="33"/>
  <c r="P252" i="33"/>
  <c r="AJ95" i="33"/>
  <c r="Z95" i="33"/>
  <c r="U95" i="33"/>
  <c r="AE95" i="33"/>
  <c r="Q193" i="33"/>
  <c r="Q165" i="33"/>
  <c r="V125" i="33"/>
  <c r="AK125" i="33"/>
  <c r="AF125" i="33"/>
  <c r="AA125" i="33"/>
  <c r="P189" i="33"/>
  <c r="AJ121" i="33"/>
  <c r="Z121" i="33"/>
  <c r="P161" i="33"/>
  <c r="U121" i="33"/>
  <c r="AE121" i="33"/>
  <c r="R185" i="33"/>
  <c r="R157" i="33"/>
  <c r="AG117" i="33"/>
  <c r="W117" i="33"/>
  <c r="AL117" i="33"/>
  <c r="AB117" i="33"/>
  <c r="Q183" i="33"/>
  <c r="Q155" i="33"/>
  <c r="AF115" i="33"/>
  <c r="AK115" i="33"/>
  <c r="AA115" i="33"/>
  <c r="V115" i="33"/>
  <c r="V227" i="33"/>
  <c r="R183" i="33"/>
  <c r="AG115" i="33"/>
  <c r="W115" i="33"/>
  <c r="AL115" i="33"/>
  <c r="R155" i="33"/>
  <c r="AB115" i="33"/>
  <c r="Q222" i="33"/>
  <c r="Q249" i="33"/>
  <c r="AK92" i="33"/>
  <c r="AA92" i="33"/>
  <c r="V92" i="33"/>
  <c r="AF92" i="33"/>
  <c r="O188" i="33"/>
  <c r="AI120" i="33"/>
  <c r="Y120" i="33"/>
  <c r="O160" i="33"/>
  <c r="T120" i="33"/>
  <c r="AD120" i="33"/>
  <c r="Q184" i="33"/>
  <c r="Q156" i="33"/>
  <c r="AF116" i="33"/>
  <c r="AK116" i="33"/>
  <c r="AA116" i="33"/>
  <c r="V116" i="33"/>
  <c r="W212" i="33"/>
  <c r="AG212" i="33"/>
  <c r="AB212" i="33"/>
  <c r="AG252" i="33"/>
  <c r="W252" i="33"/>
  <c r="AB252" i="33"/>
  <c r="P220" i="33"/>
  <c r="P247" i="33"/>
  <c r="AJ90" i="33"/>
  <c r="Z90" i="33"/>
  <c r="AE90" i="33"/>
  <c r="U90" i="33"/>
  <c r="P185" i="33"/>
  <c r="AJ117" i="33"/>
  <c r="Z117" i="33"/>
  <c r="U117" i="33"/>
  <c r="AE117" i="33"/>
  <c r="P157" i="33"/>
  <c r="O182" i="33"/>
  <c r="AI114" i="33"/>
  <c r="Y114" i="33"/>
  <c r="O154" i="33"/>
  <c r="AD114" i="33"/>
  <c r="T114" i="33"/>
  <c r="AK96" i="33"/>
  <c r="Y209" i="33"/>
  <c r="AD209" i="33"/>
  <c r="T209" i="33"/>
  <c r="AD94" i="33"/>
  <c r="O249" i="33"/>
  <c r="O222" i="33"/>
  <c r="AI92" i="33"/>
  <c r="Y92" i="33"/>
  <c r="T92" i="33"/>
  <c r="AD92" i="33"/>
  <c r="AD77" i="33"/>
  <c r="Y248" i="33"/>
  <c r="AD248" i="33"/>
  <c r="T248" i="33"/>
  <c r="W179" i="33"/>
  <c r="AG179" i="33"/>
  <c r="AB179" i="33"/>
  <c r="AI79" i="33"/>
  <c r="R197" i="33"/>
  <c r="R169" i="33"/>
  <c r="AG129" i="33"/>
  <c r="AB129" i="33"/>
  <c r="W129" i="33"/>
  <c r="AL129" i="33"/>
  <c r="AK90" i="33"/>
  <c r="AD216" i="33"/>
  <c r="T216" i="33"/>
  <c r="Y216" i="33"/>
  <c r="AF236" i="33"/>
  <c r="V236" i="33"/>
  <c r="AA236" i="33"/>
  <c r="AF234" i="33"/>
  <c r="V234" i="33"/>
  <c r="AA234" i="33"/>
  <c r="AK74" i="33"/>
  <c r="AG246" i="33"/>
  <c r="W246" i="33"/>
  <c r="AB246" i="33"/>
  <c r="AL97" i="33"/>
  <c r="Q199" i="33"/>
  <c r="Q171" i="33"/>
  <c r="AK131" i="33"/>
  <c r="AA131" i="33"/>
  <c r="V131" i="33"/>
  <c r="AF131" i="33"/>
  <c r="AG247" i="33"/>
  <c r="W247" i="33"/>
  <c r="AB247" i="33"/>
  <c r="AA218" i="33"/>
  <c r="V218" i="33"/>
  <c r="AF218" i="33"/>
  <c r="O240" i="33"/>
  <c r="O213" i="33"/>
  <c r="AI83" i="33"/>
  <c r="T83" i="33"/>
  <c r="AD83" i="33"/>
  <c r="Y83" i="33"/>
  <c r="Z208" i="33"/>
  <c r="U208" i="33"/>
  <c r="P178" i="33"/>
  <c r="AJ110" i="33"/>
  <c r="Z110" i="33"/>
  <c r="AE110" i="33"/>
  <c r="P150" i="33"/>
  <c r="U110" i="33"/>
  <c r="Z204" i="33"/>
  <c r="AE204" i="33"/>
  <c r="U204" i="33"/>
  <c r="AF247" i="33"/>
  <c r="V247" i="33"/>
  <c r="AA247" i="33"/>
  <c r="AA213" i="33"/>
  <c r="V213" i="33"/>
  <c r="AF213" i="33"/>
  <c r="AF76" i="33"/>
  <c r="AD85" i="33"/>
  <c r="Y238" i="33"/>
  <c r="T238" i="33"/>
  <c r="AD238" i="33"/>
  <c r="AE85" i="33"/>
  <c r="AG233" i="33"/>
  <c r="W233" i="33"/>
  <c r="AB233" i="33"/>
  <c r="AA216" i="33"/>
  <c r="V216" i="33"/>
  <c r="AF216" i="33"/>
  <c r="AD76" i="33"/>
  <c r="AD214" i="33"/>
  <c r="T214" i="33"/>
  <c r="Y214" i="33"/>
  <c r="AI91" i="33"/>
  <c r="AD212" i="33"/>
  <c r="T212" i="33"/>
  <c r="Y212" i="33"/>
  <c r="Q181" i="33"/>
  <c r="Q153" i="33"/>
  <c r="AF113" i="33"/>
  <c r="AK113" i="33"/>
  <c r="AA113" i="33"/>
  <c r="V113" i="33"/>
  <c r="AD217" i="33"/>
  <c r="T217" i="33"/>
  <c r="Y217" i="33"/>
  <c r="AE245" i="33"/>
  <c r="U245" i="33"/>
  <c r="Z245" i="33"/>
  <c r="Z217" i="33"/>
  <c r="AE217" i="33"/>
  <c r="U217" i="33"/>
  <c r="AJ131" i="33"/>
  <c r="Y227" i="33"/>
  <c r="P227" i="33"/>
  <c r="P254" i="33"/>
  <c r="AJ97" i="33"/>
  <c r="Z97" i="33"/>
  <c r="AE97" i="33"/>
  <c r="U97" i="33"/>
  <c r="Q194" i="33"/>
  <c r="Q166" i="33"/>
  <c r="V126" i="33"/>
  <c r="AK126" i="33"/>
  <c r="AF126" i="33"/>
  <c r="AA126" i="33"/>
  <c r="AD90" i="33"/>
  <c r="P190" i="33"/>
  <c r="AJ122" i="33"/>
  <c r="Z122" i="33"/>
  <c r="U122" i="33"/>
  <c r="AE122" i="33"/>
  <c r="P162" i="33"/>
  <c r="R186" i="33"/>
  <c r="AG118" i="33"/>
  <c r="W118" i="33"/>
  <c r="AL118" i="33"/>
  <c r="R158" i="33"/>
  <c r="AB118" i="33"/>
  <c r="Y208" i="33"/>
  <c r="AD208" i="33"/>
  <c r="T208" i="33"/>
  <c r="AG251" i="33"/>
  <c r="W251" i="33"/>
  <c r="AB251" i="33"/>
  <c r="O189" i="33"/>
  <c r="O161" i="33"/>
  <c r="AI121" i="33"/>
  <c r="Y121" i="33"/>
  <c r="T121" i="33"/>
  <c r="AD121" i="33"/>
  <c r="Q185" i="33"/>
  <c r="Q157" i="33"/>
  <c r="AK117" i="33"/>
  <c r="AF117" i="33"/>
  <c r="AA117" i="33"/>
  <c r="V117" i="33"/>
  <c r="AL81" i="33"/>
  <c r="Q188" i="33"/>
  <c r="Q160" i="33"/>
  <c r="V120" i="33"/>
  <c r="AK120" i="33"/>
  <c r="AF120" i="33"/>
  <c r="AA120" i="33"/>
  <c r="AK110" i="33"/>
  <c r="AB225" i="33"/>
  <c r="AG225" i="33"/>
  <c r="W225" i="33"/>
  <c r="AD93" i="33"/>
  <c r="P221" i="33"/>
  <c r="P248" i="33"/>
  <c r="AJ91" i="33"/>
  <c r="Z91" i="33"/>
  <c r="AE91" i="33"/>
  <c r="U91" i="33"/>
  <c r="AD86" i="33"/>
  <c r="P186" i="33"/>
  <c r="AJ118" i="33"/>
  <c r="Z118" i="33"/>
  <c r="U118" i="33"/>
  <c r="P158" i="33"/>
  <c r="AE118" i="33"/>
  <c r="O183" i="33"/>
  <c r="O155" i="33"/>
  <c r="AI115" i="33"/>
  <c r="Y115" i="33"/>
  <c r="AD115" i="33"/>
  <c r="T115" i="33"/>
  <c r="AE75" i="33"/>
  <c r="AF253" i="33"/>
  <c r="V253" i="33"/>
  <c r="AA253" i="33"/>
  <c r="Y236" i="33"/>
  <c r="T236" i="33"/>
  <c r="AD236" i="33"/>
  <c r="AK95" i="33"/>
  <c r="AD224" i="33"/>
  <c r="T224" i="33"/>
  <c r="Y224" i="33"/>
  <c r="AJ88" i="33"/>
  <c r="AD95" i="33"/>
  <c r="R232" i="33"/>
  <c r="R205" i="33"/>
  <c r="AG75" i="33"/>
  <c r="W75" i="33"/>
  <c r="AL75" i="33"/>
  <c r="AB75" i="33"/>
  <c r="T207" i="33"/>
  <c r="Y243" i="33"/>
  <c r="AD243" i="33"/>
  <c r="T243" i="33"/>
  <c r="AK78" i="33"/>
  <c r="AF91" i="33"/>
  <c r="AK89" i="33"/>
  <c r="U235" i="33"/>
  <c r="Z235" i="33"/>
  <c r="AJ111" i="33"/>
  <c r="Z111" i="33"/>
  <c r="U111" i="33"/>
  <c r="P179" i="33"/>
  <c r="AE111" i="33"/>
  <c r="P151" i="33"/>
  <c r="AE231" i="33"/>
  <c r="U231" i="33"/>
  <c r="Z231" i="33"/>
  <c r="AA220" i="33"/>
  <c r="V220" i="33"/>
  <c r="AF220" i="33"/>
  <c r="AE81" i="33"/>
  <c r="T215" i="33"/>
  <c r="Y215" i="33"/>
  <c r="AJ85" i="33"/>
  <c r="W209" i="33"/>
  <c r="AG209" i="33"/>
  <c r="AB209" i="33"/>
  <c r="AF96" i="33"/>
  <c r="AI77" i="33"/>
  <c r="Y241" i="33"/>
  <c r="AD241" i="33"/>
  <c r="T241" i="33"/>
  <c r="AJ86" i="33"/>
  <c r="AK85" i="33"/>
  <c r="AK82" i="33"/>
  <c r="AE82" i="33"/>
  <c r="Y239" i="33"/>
  <c r="AD239" i="33"/>
  <c r="T239" i="33"/>
  <c r="AK80" i="33"/>
  <c r="P198" i="33"/>
  <c r="P170" i="33"/>
  <c r="AE130" i="33"/>
  <c r="U130" i="33"/>
  <c r="Z130" i="33"/>
  <c r="AJ130" i="33"/>
  <c r="Q195" i="33"/>
  <c r="Q167" i="33"/>
  <c r="V127" i="33"/>
  <c r="AK127" i="33"/>
  <c r="AF127" i="33"/>
  <c r="AA127" i="33"/>
  <c r="AD220" i="33"/>
  <c r="T220" i="33"/>
  <c r="Y220" i="33"/>
  <c r="R187" i="33"/>
  <c r="AG119" i="33"/>
  <c r="W119" i="33"/>
  <c r="AL119" i="33"/>
  <c r="AB119" i="33"/>
  <c r="R159" i="33"/>
  <c r="AD235" i="33"/>
  <c r="T235" i="33"/>
  <c r="AB224" i="33"/>
  <c r="AG224" i="33"/>
  <c r="W224" i="33"/>
  <c r="O190" i="33"/>
  <c r="AI122" i="33"/>
  <c r="Y122" i="33"/>
  <c r="T122" i="33"/>
  <c r="O162" i="33"/>
  <c r="AD122" i="33"/>
  <c r="Q186" i="33"/>
  <c r="Q158" i="33"/>
  <c r="V118" i="33"/>
  <c r="AK118" i="33"/>
  <c r="AF118" i="33"/>
  <c r="AA118" i="33"/>
  <c r="P180" i="33"/>
  <c r="AJ112" i="33"/>
  <c r="Z112" i="33"/>
  <c r="P152" i="33"/>
  <c r="AE112" i="33"/>
  <c r="U112" i="33"/>
  <c r="Q189" i="33"/>
  <c r="Q161" i="33"/>
  <c r="V121" i="33"/>
  <c r="AK121" i="33"/>
  <c r="AF121" i="33"/>
  <c r="AA121" i="33"/>
  <c r="AD223" i="33"/>
  <c r="T223" i="33"/>
  <c r="Y223" i="33"/>
  <c r="P223" i="33"/>
  <c r="P250" i="33"/>
  <c r="AJ93" i="33"/>
  <c r="Z93" i="33"/>
  <c r="AE93" i="33"/>
  <c r="U93" i="33"/>
  <c r="P187" i="33"/>
  <c r="AJ119" i="33"/>
  <c r="Z119" i="33"/>
  <c r="P159" i="33"/>
  <c r="U119" i="33"/>
  <c r="AE119" i="33"/>
  <c r="P210" i="33"/>
  <c r="P237" i="33"/>
  <c r="AE80" i="33"/>
  <c r="U80" i="33"/>
  <c r="Z80" i="33"/>
  <c r="AJ80" i="33"/>
  <c r="AA226" i="33"/>
  <c r="V226" i="33"/>
  <c r="AF226" i="33"/>
  <c r="O178" i="33"/>
  <c r="T110" i="33"/>
  <c r="AI110" i="33"/>
  <c r="AD110" i="33"/>
  <c r="Y110" i="33"/>
  <c r="O150" i="33"/>
  <c r="Y251" i="33"/>
  <c r="AD251" i="33"/>
  <c r="T251" i="33"/>
  <c r="W213" i="33"/>
  <c r="AG213" i="33"/>
  <c r="AB213" i="33"/>
  <c r="AD75" i="33"/>
  <c r="Y205" i="33"/>
  <c r="AD205" i="33"/>
  <c r="T205" i="33"/>
  <c r="AD225" i="33"/>
  <c r="T225" i="33"/>
  <c r="Y225" i="33"/>
  <c r="W217" i="33"/>
  <c r="AG217" i="33"/>
  <c r="AB217" i="33"/>
  <c r="R231" i="33"/>
  <c r="R204" i="33"/>
  <c r="AG74" i="33"/>
  <c r="W74" i="33"/>
  <c r="AL74" i="33"/>
  <c r="AB74" i="33"/>
  <c r="AF150" i="33"/>
  <c r="V150" i="33"/>
  <c r="AA150" i="33"/>
  <c r="AA204" i="33"/>
  <c r="AF204" i="33"/>
  <c r="V204" i="33"/>
  <c r="AF248" i="33"/>
  <c r="V248" i="33"/>
  <c r="AA248" i="33"/>
  <c r="AK76" i="33"/>
  <c r="Y242" i="33"/>
  <c r="T242" i="33"/>
  <c r="AD242" i="33"/>
  <c r="AG236" i="33"/>
  <c r="W236" i="33"/>
  <c r="AB236" i="33"/>
  <c r="AG208" i="33"/>
  <c r="W208" i="33"/>
  <c r="AB208" i="33"/>
  <c r="AE239" i="33"/>
  <c r="U239" i="33"/>
  <c r="Z239" i="33"/>
  <c r="AB222" i="33"/>
  <c r="W222" i="33"/>
  <c r="AG222" i="33"/>
  <c r="P191" i="33"/>
  <c r="AJ123" i="33"/>
  <c r="Z123" i="33"/>
  <c r="U123" i="33"/>
  <c r="P163" i="33"/>
  <c r="AE123" i="33"/>
  <c r="P197" i="33"/>
  <c r="P169" i="33"/>
  <c r="AE129" i="33"/>
  <c r="U129" i="33"/>
  <c r="Z129" i="33"/>
  <c r="AJ129" i="33"/>
  <c r="O197" i="33"/>
  <c r="O169" i="33"/>
  <c r="T129" i="33"/>
  <c r="AD129" i="33"/>
  <c r="AI129" i="33"/>
  <c r="Y129" i="33"/>
  <c r="Y247" i="33"/>
  <c r="AD247" i="33"/>
  <c r="T247" i="33"/>
  <c r="AG237" i="33"/>
  <c r="W237" i="33"/>
  <c r="AB237" i="33"/>
  <c r="AD218" i="33"/>
  <c r="T218" i="33"/>
  <c r="Y218" i="33"/>
  <c r="O191" i="33"/>
  <c r="O163" i="33"/>
  <c r="AI123" i="33"/>
  <c r="Y123" i="33"/>
  <c r="T123" i="33"/>
  <c r="AD123" i="33"/>
  <c r="Q187" i="33"/>
  <c r="Q159" i="33"/>
  <c r="V119" i="33"/>
  <c r="AK119" i="33"/>
  <c r="AF119" i="33"/>
  <c r="AA119" i="33"/>
  <c r="AJ113" i="33"/>
  <c r="Z113" i="33"/>
  <c r="P181" i="33"/>
  <c r="U113" i="33"/>
  <c r="AE113" i="33"/>
  <c r="P153" i="33"/>
  <c r="Q190" i="33"/>
  <c r="Q162" i="33"/>
  <c r="V122" i="33"/>
  <c r="AK122" i="33"/>
  <c r="AF122" i="33"/>
  <c r="AA122" i="33"/>
  <c r="Y250" i="33"/>
  <c r="AD250" i="33"/>
  <c r="T250" i="33"/>
  <c r="Q214" i="33"/>
  <c r="Q241" i="33"/>
  <c r="AF84" i="33"/>
  <c r="AA84" i="33"/>
  <c r="AK84" i="33"/>
  <c r="V84" i="33"/>
  <c r="O179" i="33"/>
  <c r="AI111" i="33"/>
  <c r="Y111" i="33"/>
  <c r="O151" i="33"/>
  <c r="AD111" i="33"/>
  <c r="T111" i="33"/>
  <c r="AJ92" i="33"/>
  <c r="O184" i="33"/>
  <c r="AI116" i="33"/>
  <c r="Y116" i="33"/>
  <c r="O156" i="33"/>
  <c r="AD116" i="33"/>
  <c r="T116" i="33"/>
  <c r="AG240" i="33"/>
  <c r="W240" i="33"/>
  <c r="AB240" i="33"/>
  <c r="AD74" i="33"/>
  <c r="Y232" i="33"/>
  <c r="T232" i="33"/>
  <c r="AD232" i="33"/>
  <c r="Y252" i="33"/>
  <c r="AD252" i="33"/>
  <c r="T252" i="33"/>
  <c r="AG244" i="33"/>
  <c r="W244" i="33"/>
  <c r="AB244" i="33"/>
  <c r="AL87" i="33"/>
  <c r="AL82" i="33"/>
  <c r="AL91" i="33"/>
  <c r="AL90" i="33"/>
  <c r="AL86" i="33"/>
  <c r="AL111" i="33"/>
  <c r="Q179" i="33"/>
  <c r="Q151" i="33"/>
  <c r="AA111" i="33"/>
  <c r="AK111" i="33"/>
  <c r="V111" i="33"/>
  <c r="AF111" i="33"/>
  <c r="AK91" i="33"/>
  <c r="P213" i="33"/>
  <c r="P240" i="33"/>
  <c r="U83" i="33"/>
  <c r="AE83" i="33"/>
  <c r="AJ83" i="33"/>
  <c r="Z83" i="33"/>
  <c r="AA208" i="33"/>
  <c r="AF208" i="33"/>
  <c r="V208" i="33"/>
  <c r="AF178" i="33"/>
  <c r="V178" i="33"/>
  <c r="AA178" i="33"/>
  <c r="AF231" i="33"/>
  <c r="V231" i="33"/>
  <c r="AA231" i="33"/>
  <c r="W211" i="33"/>
  <c r="AG211" i="33"/>
  <c r="AB211" i="33"/>
  <c r="AG254" i="33"/>
  <c r="W254" i="33"/>
  <c r="AB254" i="33"/>
  <c r="AL96" i="33"/>
  <c r="AA221" i="33"/>
  <c r="V221" i="33"/>
  <c r="AF221" i="33"/>
  <c r="R188" i="33"/>
  <c r="R160" i="33"/>
  <c r="AG120" i="33"/>
  <c r="W120" i="33"/>
  <c r="AL120" i="33"/>
  <c r="AB120" i="33"/>
  <c r="AE246" i="33"/>
  <c r="U246" i="33"/>
  <c r="Z246" i="33"/>
  <c r="AK97" i="33"/>
  <c r="AK83" i="33"/>
  <c r="AJ81" i="33"/>
  <c r="AA206" i="33"/>
  <c r="AF206" i="33"/>
  <c r="V206" i="33"/>
  <c r="AE242" i="33"/>
  <c r="U242" i="33"/>
  <c r="Z242" i="33"/>
  <c r="AK86" i="33"/>
  <c r="AG235" i="33"/>
  <c r="W235" i="33"/>
  <c r="AB235" i="33"/>
  <c r="AJ96" i="33"/>
  <c r="AE86" i="33"/>
  <c r="AF242" i="33"/>
  <c r="V242" i="33"/>
  <c r="AA242" i="33"/>
  <c r="Z212" i="33"/>
  <c r="AE212" i="33"/>
  <c r="U212" i="33"/>
  <c r="AK112" i="33"/>
  <c r="P196" i="33"/>
  <c r="P168" i="33"/>
  <c r="U168" i="33" s="1"/>
  <c r="AE128" i="33"/>
  <c r="U128" i="33"/>
  <c r="Z128" i="33"/>
  <c r="AJ128" i="33"/>
  <c r="O199" i="33"/>
  <c r="O171" i="33"/>
  <c r="AD131" i="33"/>
  <c r="T131" i="33"/>
  <c r="Y131" i="33"/>
  <c r="AI131" i="33"/>
  <c r="W210" i="33"/>
  <c r="AG210" i="33"/>
  <c r="AB210" i="33"/>
  <c r="Y245" i="33"/>
  <c r="AD245" i="33"/>
  <c r="T245" i="33"/>
  <c r="P182" i="33"/>
  <c r="AJ114" i="33"/>
  <c r="Z114" i="33"/>
  <c r="U114" i="33"/>
  <c r="P154" i="33"/>
  <c r="AE114" i="33"/>
  <c r="AG243" i="33"/>
  <c r="W243" i="33"/>
  <c r="AB243" i="33"/>
  <c r="AF252" i="33"/>
  <c r="V252" i="33"/>
  <c r="AA252" i="33"/>
  <c r="O185" i="33"/>
  <c r="AI117" i="33"/>
  <c r="Y117" i="33"/>
  <c r="T117" i="33"/>
  <c r="O157" i="33"/>
  <c r="AD117" i="33"/>
  <c r="O237" i="33"/>
  <c r="O210" i="33"/>
  <c r="T80" i="33"/>
  <c r="AD80" i="33"/>
  <c r="Y80" i="33"/>
  <c r="AI80" i="33"/>
  <c r="Q177" i="33"/>
  <c r="Q149" i="33"/>
  <c r="AA109" i="33"/>
  <c r="V109" i="33"/>
  <c r="AF109" i="33"/>
  <c r="AK109" i="33"/>
  <c r="AF235" i="33"/>
  <c r="V235" i="33"/>
  <c r="AA235" i="33"/>
  <c r="AG238" i="33"/>
  <c r="W238" i="33"/>
  <c r="AB238" i="33"/>
  <c r="AB227" i="33"/>
  <c r="W227" i="33"/>
  <c r="AG227" i="33"/>
  <c r="AG253" i="33"/>
  <c r="W253" i="33"/>
  <c r="AB253" i="33"/>
  <c r="R189" i="33"/>
  <c r="R161" i="33"/>
  <c r="AG121" i="33"/>
  <c r="W121" i="33"/>
  <c r="AL121" i="33"/>
  <c r="AB121" i="33"/>
  <c r="Z219" i="33"/>
  <c r="AE219" i="33"/>
  <c r="U219" i="33"/>
  <c r="AE209" i="33"/>
  <c r="Z209" i="33"/>
  <c r="U209" i="33"/>
  <c r="Z207" i="33"/>
  <c r="AE207" i="33"/>
  <c r="U207" i="33"/>
  <c r="Z205" i="33"/>
  <c r="AE205" i="33"/>
  <c r="U205" i="33"/>
  <c r="R192" i="33"/>
  <c r="R164" i="33"/>
  <c r="AG124" i="33"/>
  <c r="W124" i="33"/>
  <c r="AL124" i="33"/>
  <c r="AB124" i="33"/>
  <c r="AF233" i="33"/>
  <c r="V233" i="33"/>
  <c r="AA233" i="33"/>
  <c r="Z215" i="33"/>
  <c r="AE215" i="33"/>
  <c r="U215" i="33"/>
  <c r="Y206" i="33"/>
  <c r="AD206" i="33"/>
  <c r="T206" i="33"/>
  <c r="AA215" i="33"/>
  <c r="V215" i="33"/>
  <c r="AF215" i="33"/>
  <c r="AF239" i="33"/>
  <c r="V239" i="33"/>
  <c r="AA239" i="33"/>
  <c r="AF237" i="33"/>
  <c r="V237" i="33"/>
  <c r="AA237" i="33"/>
  <c r="O198" i="33"/>
  <c r="O170" i="33"/>
  <c r="Y130" i="33"/>
  <c r="AI130" i="33"/>
  <c r="AD130" i="33"/>
  <c r="T130" i="33"/>
  <c r="Z171" i="33"/>
  <c r="AE171" i="33"/>
  <c r="U171" i="33"/>
  <c r="AF238" i="33"/>
  <c r="V238" i="33"/>
  <c r="AA238" i="33"/>
  <c r="R178" i="33"/>
  <c r="R150" i="33"/>
  <c r="AB110" i="33"/>
  <c r="AL110" i="33"/>
  <c r="W110" i="33"/>
  <c r="AG110" i="33"/>
  <c r="R214" i="33"/>
  <c r="R241" i="33"/>
  <c r="AL84" i="33"/>
  <c r="AB84" i="33"/>
  <c r="AG84" i="33"/>
  <c r="W84" i="33"/>
  <c r="Q191" i="33"/>
  <c r="Q163" i="33"/>
  <c r="V123" i="33"/>
  <c r="AK123" i="33"/>
  <c r="AF123" i="33"/>
  <c r="AA123" i="33"/>
  <c r="O192" i="33"/>
  <c r="AI124" i="33"/>
  <c r="Y124" i="33"/>
  <c r="O164" i="33"/>
  <c r="T124" i="33"/>
  <c r="AD124" i="33"/>
  <c r="P192" i="33"/>
  <c r="AJ124" i="33"/>
  <c r="Z124" i="33"/>
  <c r="P164" i="33"/>
  <c r="U124" i="33"/>
  <c r="AE124" i="33"/>
  <c r="AE199" i="33"/>
  <c r="U199" i="33"/>
  <c r="Z199" i="33"/>
  <c r="O196" i="33"/>
  <c r="O168" i="33"/>
  <c r="T168" i="33" s="1"/>
  <c r="Y128" i="33"/>
  <c r="T128" i="33"/>
  <c r="AI128" i="33"/>
  <c r="AD128" i="33"/>
  <c r="AG250" i="33"/>
  <c r="W250" i="33"/>
  <c r="AB250" i="33"/>
  <c r="AL92" i="33"/>
  <c r="AF246" i="33"/>
  <c r="V246" i="33"/>
  <c r="AA246" i="33"/>
  <c r="W215" i="33"/>
  <c r="AG215" i="33"/>
  <c r="AB215" i="33"/>
  <c r="AA211" i="33"/>
  <c r="V211" i="33"/>
  <c r="AF211" i="33"/>
  <c r="R180" i="33"/>
  <c r="R152" i="33"/>
  <c r="AG112" i="33"/>
  <c r="AL112" i="33"/>
  <c r="AB112" i="33"/>
  <c r="W112" i="33"/>
  <c r="O253" i="33"/>
  <c r="O226" i="33"/>
  <c r="AI96" i="33"/>
  <c r="Y96" i="33"/>
  <c r="T96" i="33"/>
  <c r="AD96" i="33"/>
  <c r="AD89" i="33"/>
  <c r="AK87" i="33"/>
  <c r="AJ115" i="33"/>
  <c r="Z115" i="33"/>
  <c r="U115" i="33"/>
  <c r="P183" i="33"/>
  <c r="AE115" i="33"/>
  <c r="P155" i="33"/>
  <c r="AL95" i="33"/>
  <c r="AF251" i="33"/>
  <c r="V251" i="33"/>
  <c r="AA251" i="33"/>
  <c r="O193" i="33"/>
  <c r="O165" i="33"/>
  <c r="AI125" i="33"/>
  <c r="Y125" i="33"/>
  <c r="T125" i="33"/>
  <c r="AD125" i="33"/>
  <c r="W216" i="33"/>
  <c r="AG216" i="33"/>
  <c r="AB216" i="33"/>
  <c r="AK81" i="33"/>
  <c r="AI89" i="33"/>
  <c r="AI86" i="33"/>
  <c r="AA225" i="33"/>
  <c r="AF225" i="33"/>
  <c r="V225" i="33"/>
  <c r="AE92" i="33"/>
  <c r="O186" i="33"/>
  <c r="AI118" i="33"/>
  <c r="Y118" i="33"/>
  <c r="T118" i="33"/>
  <c r="O158" i="33"/>
  <c r="AD118" i="33"/>
  <c r="R177" i="33"/>
  <c r="R149" i="33"/>
  <c r="AL109" i="33"/>
  <c r="W109" i="33"/>
  <c r="AG109" i="33"/>
  <c r="AB109" i="33"/>
  <c r="R234" i="33"/>
  <c r="R207" i="33"/>
  <c r="AG77" i="33"/>
  <c r="W77" i="33"/>
  <c r="AL77" i="33"/>
  <c r="AB77" i="33"/>
  <c r="AF90" i="33"/>
  <c r="R196" i="33"/>
  <c r="R168" i="33"/>
  <c r="W168" i="33" s="1"/>
  <c r="AL128" i="33"/>
  <c r="W128" i="33"/>
  <c r="AG128" i="33"/>
  <c r="AB128" i="33"/>
  <c r="AE87" i="33"/>
  <c r="AK79" i="33"/>
  <c r="AI78" i="33"/>
  <c r="Q196" i="33"/>
  <c r="Q168" i="33"/>
  <c r="V168" i="33" s="1"/>
  <c r="AA128" i="33"/>
  <c r="AK128" i="33"/>
  <c r="V128" i="33"/>
  <c r="AF128" i="33"/>
  <c r="AB226" i="33"/>
  <c r="W226" i="33"/>
  <c r="AG226" i="33"/>
  <c r="R190" i="33"/>
  <c r="R162" i="33"/>
  <c r="AG122" i="33"/>
  <c r="W122" i="33"/>
  <c r="AL122" i="33"/>
  <c r="AB122" i="33"/>
  <c r="AE244" i="33"/>
  <c r="U244" i="33"/>
  <c r="Z244" i="33"/>
  <c r="AE236" i="33"/>
  <c r="U236" i="33"/>
  <c r="Z236" i="33"/>
  <c r="AE234" i="33"/>
  <c r="U234" i="33"/>
  <c r="Z234" i="33"/>
  <c r="AE232" i="33"/>
  <c r="U232" i="33"/>
  <c r="Z232" i="33"/>
  <c r="R193" i="33"/>
  <c r="R165" i="33"/>
  <c r="AG125" i="33"/>
  <c r="W125" i="33"/>
  <c r="AL125" i="33"/>
  <c r="AB125" i="33"/>
  <c r="AF83" i="33"/>
  <c r="AE238" i="33"/>
  <c r="U238" i="33"/>
  <c r="Z238" i="33"/>
  <c r="AI85" i="33"/>
  <c r="Z206" i="33"/>
  <c r="AE206" i="33"/>
  <c r="U206" i="33"/>
  <c r="Y233" i="33"/>
  <c r="AD233" i="33"/>
  <c r="T233" i="33"/>
  <c r="AE96" i="33"/>
  <c r="AE243" i="33"/>
  <c r="U243" i="33"/>
  <c r="Z243" i="33"/>
  <c r="AA212" i="33"/>
  <c r="V212" i="33"/>
  <c r="AF212" i="33"/>
  <c r="AA210" i="33"/>
  <c r="V210" i="33"/>
  <c r="AF210" i="33"/>
  <c r="P124" i="32"/>
  <c r="Q129" i="32"/>
  <c r="O96" i="32"/>
  <c r="AD96" i="32" s="1"/>
  <c r="R93" i="32"/>
  <c r="W93" i="32" s="1"/>
  <c r="O76" i="32"/>
  <c r="U95" i="32"/>
  <c r="AD95" i="32"/>
  <c r="AE75" i="32"/>
  <c r="O118" i="32"/>
  <c r="O123" i="32"/>
  <c r="P123" i="32"/>
  <c r="P163" i="32" s="1"/>
  <c r="P76" i="32"/>
  <c r="R88" i="32"/>
  <c r="R96" i="32"/>
  <c r="Q76" i="32"/>
  <c r="AA76" i="32" s="1"/>
  <c r="O80" i="32"/>
  <c r="Y80" i="32" s="1"/>
  <c r="O92" i="32"/>
  <c r="AD92" i="32" s="1"/>
  <c r="R77" i="32"/>
  <c r="R234" i="32" s="1"/>
  <c r="P81" i="32"/>
  <c r="U81" i="32" s="1"/>
  <c r="P91" i="32"/>
  <c r="Q80" i="32"/>
  <c r="O84" i="32"/>
  <c r="O214" i="32" s="1"/>
  <c r="P77" i="32"/>
  <c r="Z77" i="32" s="1"/>
  <c r="Q82" i="32"/>
  <c r="Q239" i="32" s="1"/>
  <c r="R85" i="32"/>
  <c r="AB85" i="32" s="1"/>
  <c r="AA86" i="32"/>
  <c r="O81" i="32"/>
  <c r="AI81" i="32" s="1"/>
  <c r="Q81" i="32"/>
  <c r="Q238" i="32" s="1"/>
  <c r="O97" i="32"/>
  <c r="AD97" i="32" s="1"/>
  <c r="O94" i="32"/>
  <c r="Y94" i="32" s="1"/>
  <c r="O206" i="32"/>
  <c r="O233" i="32"/>
  <c r="AI76" i="32"/>
  <c r="Y76" i="32"/>
  <c r="AD76" i="32"/>
  <c r="T76" i="32"/>
  <c r="T84" i="32"/>
  <c r="AD84" i="32"/>
  <c r="Y84" i="32"/>
  <c r="AI84" i="32"/>
  <c r="Q241" i="32"/>
  <c r="Q214" i="32"/>
  <c r="V84" i="32"/>
  <c r="AF84" i="32"/>
  <c r="AA84" i="32"/>
  <c r="AL77" i="32"/>
  <c r="AB77" i="32"/>
  <c r="R241" i="32"/>
  <c r="R214" i="32"/>
  <c r="AG84" i="32"/>
  <c r="AB84" i="32"/>
  <c r="AL84" i="32"/>
  <c r="W84" i="32"/>
  <c r="T92" i="32"/>
  <c r="R253" i="32"/>
  <c r="R226" i="32"/>
  <c r="W96" i="32"/>
  <c r="AG96" i="32"/>
  <c r="AB96" i="32"/>
  <c r="AL96" i="32"/>
  <c r="Q237" i="32"/>
  <c r="Q210" i="32"/>
  <c r="AA80" i="32"/>
  <c r="V80" i="32"/>
  <c r="AF80" i="32"/>
  <c r="P233" i="32"/>
  <c r="P206" i="32"/>
  <c r="Z76" i="32"/>
  <c r="AE76" i="32"/>
  <c r="U76" i="32"/>
  <c r="R236" i="32"/>
  <c r="R209" i="32"/>
  <c r="AL79" i="32"/>
  <c r="AB79" i="32"/>
  <c r="AG79" i="32"/>
  <c r="W79" i="32"/>
  <c r="Q242" i="32"/>
  <c r="Q215" i="32"/>
  <c r="AA85" i="32"/>
  <c r="V85" i="32"/>
  <c r="AF85" i="32"/>
  <c r="R76" i="32"/>
  <c r="R80" i="32"/>
  <c r="Q211" i="32"/>
  <c r="O216" i="32"/>
  <c r="O243" i="32"/>
  <c r="AI86" i="32"/>
  <c r="Y86" i="32"/>
  <c r="P246" i="32"/>
  <c r="P219" i="32"/>
  <c r="Z89" i="32"/>
  <c r="AE89" i="32"/>
  <c r="U89" i="32"/>
  <c r="R245" i="32"/>
  <c r="R218" i="32"/>
  <c r="AG88" i="32"/>
  <c r="W88" i="32"/>
  <c r="Z123" i="32"/>
  <c r="U123" i="32"/>
  <c r="P251" i="32"/>
  <c r="P224" i="32"/>
  <c r="U94" i="32"/>
  <c r="AE94" i="32"/>
  <c r="Z94" i="32"/>
  <c r="R252" i="32"/>
  <c r="R225" i="32"/>
  <c r="AB95" i="32"/>
  <c r="AL95" i="32"/>
  <c r="W95" i="32"/>
  <c r="AG95" i="32"/>
  <c r="O178" i="32"/>
  <c r="AD110" i="32"/>
  <c r="Y110" i="32"/>
  <c r="T110" i="32"/>
  <c r="O74" i="32"/>
  <c r="O75" i="32"/>
  <c r="O111" i="32"/>
  <c r="O109" i="32"/>
  <c r="O77" i="32"/>
  <c r="O78" i="32"/>
  <c r="O79" i="32"/>
  <c r="Q115" i="32"/>
  <c r="Q114" i="32"/>
  <c r="Q113" i="32"/>
  <c r="Q112" i="32"/>
  <c r="R81" i="32"/>
  <c r="AG82" i="32"/>
  <c r="O83" i="32"/>
  <c r="Q243" i="32"/>
  <c r="Q216" i="32"/>
  <c r="AF86" i="32"/>
  <c r="V86" i="32"/>
  <c r="Q88" i="32"/>
  <c r="Q121" i="32"/>
  <c r="Q120" i="32"/>
  <c r="Q122" i="32"/>
  <c r="Q123" i="32"/>
  <c r="P97" i="32"/>
  <c r="O150" i="32"/>
  <c r="AJ89" i="32"/>
  <c r="Z75" i="32"/>
  <c r="P236" i="32"/>
  <c r="P209" i="32"/>
  <c r="R115" i="32"/>
  <c r="R114" i="32"/>
  <c r="R113" i="32"/>
  <c r="R112" i="32"/>
  <c r="W82" i="32"/>
  <c r="O186" i="32"/>
  <c r="AD118" i="32"/>
  <c r="O158" i="32"/>
  <c r="Y118" i="32"/>
  <c r="T118" i="32"/>
  <c r="AK81" i="32"/>
  <c r="Q74" i="32"/>
  <c r="Q75" i="32"/>
  <c r="Q111" i="32"/>
  <c r="Q110" i="32"/>
  <c r="Q109" i="32"/>
  <c r="Q108" i="32"/>
  <c r="Q77" i="32"/>
  <c r="Q78" i="32"/>
  <c r="Q79" i="32"/>
  <c r="AF81" i="32"/>
  <c r="R83" i="32"/>
  <c r="P85" i="32"/>
  <c r="P83" i="32"/>
  <c r="P82" i="32"/>
  <c r="P84" i="32"/>
  <c r="AB88" i="32"/>
  <c r="P248" i="32"/>
  <c r="P221" i="32"/>
  <c r="Z91" i="32"/>
  <c r="AE91" i="32"/>
  <c r="U91" i="32"/>
  <c r="O108" i="32"/>
  <c r="AA165" i="32"/>
  <c r="AF165" i="32"/>
  <c r="V165" i="32"/>
  <c r="P234" i="32"/>
  <c r="P235" i="32"/>
  <c r="P208" i="32"/>
  <c r="T86" i="32"/>
  <c r="O91" i="32"/>
  <c r="O90" i="32"/>
  <c r="O93" i="32"/>
  <c r="P130" i="32"/>
  <c r="P128" i="32"/>
  <c r="P129" i="32"/>
  <c r="P131" i="32"/>
  <c r="AI110" i="32"/>
  <c r="R74" i="32"/>
  <c r="R75" i="32"/>
  <c r="R111" i="32"/>
  <c r="R110" i="32"/>
  <c r="R109" i="32"/>
  <c r="R108" i="32"/>
  <c r="R78" i="32"/>
  <c r="V81" i="32"/>
  <c r="O82" i="32"/>
  <c r="AL82" i="32"/>
  <c r="O119" i="32"/>
  <c r="O117" i="32"/>
  <c r="O85" i="32"/>
  <c r="AD94" i="32"/>
  <c r="O225" i="32"/>
  <c r="O252" i="32"/>
  <c r="Y95" i="32"/>
  <c r="AI95" i="32"/>
  <c r="T95" i="32"/>
  <c r="O226" i="32"/>
  <c r="O253" i="32"/>
  <c r="Y96" i="32"/>
  <c r="AI96" i="32"/>
  <c r="T96" i="32"/>
  <c r="P96" i="32"/>
  <c r="AI118" i="32"/>
  <c r="P231" i="32"/>
  <c r="P204" i="32"/>
  <c r="P111" i="32"/>
  <c r="P110" i="32"/>
  <c r="P109" i="32"/>
  <c r="P108" i="32"/>
  <c r="Z78" i="32"/>
  <c r="Z79" i="32"/>
  <c r="Q240" i="32"/>
  <c r="Q213" i="32"/>
  <c r="R89" i="32"/>
  <c r="R87" i="32"/>
  <c r="R86" i="32"/>
  <c r="Q247" i="32"/>
  <c r="Q220" i="32"/>
  <c r="AF90" i="32"/>
  <c r="V90" i="32"/>
  <c r="AF83" i="32"/>
  <c r="AA90" i="32"/>
  <c r="Q248" i="32"/>
  <c r="Q221" i="32"/>
  <c r="AF91" i="32"/>
  <c r="V91" i="32"/>
  <c r="R250" i="32"/>
  <c r="R223" i="32"/>
  <c r="AB93" i="32"/>
  <c r="AL93" i="32"/>
  <c r="AG93" i="32"/>
  <c r="P252" i="32"/>
  <c r="P225" i="32"/>
  <c r="Z95" i="32"/>
  <c r="AE95" i="32"/>
  <c r="O254" i="32"/>
  <c r="Y97" i="32"/>
  <c r="T97" i="32"/>
  <c r="O116" i="32"/>
  <c r="O193" i="32"/>
  <c r="O165" i="32"/>
  <c r="AD125" i="32"/>
  <c r="T125" i="32"/>
  <c r="Y125" i="32"/>
  <c r="AI125" i="32"/>
  <c r="U74" i="32"/>
  <c r="AE74" i="32"/>
  <c r="U75" i="32"/>
  <c r="U78" i="32"/>
  <c r="AE78" i="32"/>
  <c r="U79" i="32"/>
  <c r="AE79" i="32"/>
  <c r="P238" i="32"/>
  <c r="P211" i="32"/>
  <c r="Z81" i="32"/>
  <c r="P80" i="32"/>
  <c r="R239" i="32"/>
  <c r="R212" i="32"/>
  <c r="V83" i="32"/>
  <c r="Q119" i="32"/>
  <c r="Q118" i="32"/>
  <c r="Q117" i="32"/>
  <c r="Q116" i="32"/>
  <c r="AD86" i="32"/>
  <c r="Q244" i="32"/>
  <c r="Q217" i="32"/>
  <c r="AF87" i="32"/>
  <c r="V87" i="32"/>
  <c r="AL88" i="32"/>
  <c r="P232" i="32"/>
  <c r="P205" i="32"/>
  <c r="O114" i="32"/>
  <c r="O112" i="32"/>
  <c r="O115" i="32"/>
  <c r="O113" i="32"/>
  <c r="AA81" i="32"/>
  <c r="R119" i="32"/>
  <c r="R118" i="32"/>
  <c r="R117" i="32"/>
  <c r="R116" i="32"/>
  <c r="O89" i="32"/>
  <c r="O87" i="32"/>
  <c r="O88" i="32"/>
  <c r="AI123" i="32"/>
  <c r="Q246" i="32"/>
  <c r="Q219" i="32"/>
  <c r="AF89" i="32"/>
  <c r="V89" i="32"/>
  <c r="Z93" i="32"/>
  <c r="R97" i="32"/>
  <c r="R94" i="32"/>
  <c r="P164" i="32"/>
  <c r="P192" i="32"/>
  <c r="Z124" i="32"/>
  <c r="U124" i="32"/>
  <c r="R123" i="32"/>
  <c r="R121" i="32"/>
  <c r="R120" i="32"/>
  <c r="R122" i="32"/>
  <c r="R90" i="32"/>
  <c r="R91" i="32"/>
  <c r="Q97" i="32"/>
  <c r="Q95" i="32"/>
  <c r="Q94" i="32"/>
  <c r="Q96" i="32"/>
  <c r="O129" i="32"/>
  <c r="O130" i="32"/>
  <c r="O131" i="32"/>
  <c r="O128" i="32"/>
  <c r="AE123" i="32"/>
  <c r="O121" i="32"/>
  <c r="P88" i="32"/>
  <c r="P92" i="32"/>
  <c r="Q193" i="32"/>
  <c r="AF125" i="32"/>
  <c r="V125" i="32"/>
  <c r="Q93" i="32"/>
  <c r="Q92" i="32"/>
  <c r="O126" i="32"/>
  <c r="O127" i="32"/>
  <c r="R131" i="32"/>
  <c r="R128" i="32"/>
  <c r="R129" i="32"/>
  <c r="O120" i="32"/>
  <c r="AA125" i="32"/>
  <c r="Q194" i="32"/>
  <c r="AA126" i="32"/>
  <c r="Q166" i="32"/>
  <c r="V126" i="32"/>
  <c r="R92" i="32"/>
  <c r="P126" i="32"/>
  <c r="P125" i="32"/>
  <c r="P250" i="32"/>
  <c r="P223" i="32"/>
  <c r="P127" i="32"/>
  <c r="O191" i="32"/>
  <c r="AD123" i="32"/>
  <c r="T123" i="32"/>
  <c r="O163" i="32"/>
  <c r="Y123" i="32"/>
  <c r="O122" i="32"/>
  <c r="Q197" i="32"/>
  <c r="AF129" i="32"/>
  <c r="AA129" i="32"/>
  <c r="V129" i="32"/>
  <c r="R130" i="32"/>
  <c r="P115" i="32"/>
  <c r="P114" i="32"/>
  <c r="P113" i="32"/>
  <c r="P112" i="32"/>
  <c r="P119" i="32"/>
  <c r="P118" i="32"/>
  <c r="P117" i="32"/>
  <c r="P116" i="32"/>
  <c r="P86" i="32"/>
  <c r="P87" i="32"/>
  <c r="P121" i="32"/>
  <c r="P120" i="32"/>
  <c r="P122" i="32"/>
  <c r="P90" i="32"/>
  <c r="R127" i="32"/>
  <c r="R125" i="32"/>
  <c r="R126" i="32"/>
  <c r="R124" i="32"/>
  <c r="AE93" i="32"/>
  <c r="O124" i="32"/>
  <c r="AF126" i="32"/>
  <c r="Q169" i="32"/>
  <c r="Q127" i="32"/>
  <c r="Q124" i="32"/>
  <c r="Q130" i="32"/>
  <c r="Q131" i="32"/>
  <c r="Q128" i="32"/>
  <c r="E69" i="31"/>
  <c r="P84" i="31"/>
  <c r="P87" i="31"/>
  <c r="P85" i="31"/>
  <c r="E68" i="31" s="1"/>
  <c r="I52" i="31"/>
  <c r="O101" i="31"/>
  <c r="O141" i="31" s="1"/>
  <c r="P88" i="31"/>
  <c r="J52" i="31"/>
  <c r="Q60" i="31"/>
  <c r="P83" i="31"/>
  <c r="E75" i="31" s="1"/>
  <c r="P76" i="31"/>
  <c r="P123" i="31" s="1"/>
  <c r="P89" i="31"/>
  <c r="P80" i="31"/>
  <c r="P90" i="31"/>
  <c r="P130" i="31" s="1"/>
  <c r="I48" i="31"/>
  <c r="I79" i="31" s="1"/>
  <c r="I50" i="31"/>
  <c r="K139" i="31"/>
  <c r="O82" i="31"/>
  <c r="D74" i="31" s="1"/>
  <c r="O80" i="31"/>
  <c r="D72" i="31" s="1"/>
  <c r="O81" i="31"/>
  <c r="D78" i="31" s="1"/>
  <c r="O48" i="31"/>
  <c r="K128" i="31"/>
  <c r="O91" i="31"/>
  <c r="O90" i="31"/>
  <c r="O89" i="31"/>
  <c r="O88" i="31"/>
  <c r="L135" i="31" s="1"/>
  <c r="K135" i="31"/>
  <c r="L173" i="31"/>
  <c r="O173" i="31" s="1"/>
  <c r="L172" i="31"/>
  <c r="O172" i="31" s="1"/>
  <c r="L171" i="31"/>
  <c r="O171" i="31" s="1"/>
  <c r="Q100" i="31"/>
  <c r="Q140" i="31" s="1"/>
  <c r="K126" i="31"/>
  <c r="O76" i="31"/>
  <c r="O123" i="31" s="1"/>
  <c r="D75" i="31"/>
  <c r="O74" i="31"/>
  <c r="O121" i="31" s="1"/>
  <c r="O75" i="31"/>
  <c r="O122" i="31" s="1"/>
  <c r="K122" i="31"/>
  <c r="O77" i="31"/>
  <c r="O124" i="31" s="1"/>
  <c r="O84" i="31"/>
  <c r="O87" i="31"/>
  <c r="D70" i="31" s="1"/>
  <c r="O85" i="31"/>
  <c r="D68" i="31" s="1"/>
  <c r="K131" i="31"/>
  <c r="O86" i="31"/>
  <c r="D69" i="31" s="1"/>
  <c r="L52" i="31"/>
  <c r="L53" i="31" s="1"/>
  <c r="L48" i="31"/>
  <c r="L79" i="31" s="1"/>
  <c r="R100" i="31"/>
  <c r="R140" i="31" s="1"/>
  <c r="J48" i="31"/>
  <c r="J79" i="31" s="1"/>
  <c r="J50" i="31"/>
  <c r="J53" i="31" s="1"/>
  <c r="O99" i="31"/>
  <c r="O139" i="31" s="1"/>
  <c r="O120" i="31"/>
  <c r="P73" i="31"/>
  <c r="P74" i="31"/>
  <c r="P75" i="31"/>
  <c r="P77" i="31"/>
  <c r="P124" i="31" s="1"/>
  <c r="Q82" i="31"/>
  <c r="F74" i="31" s="1"/>
  <c r="Q84" i="31"/>
  <c r="F67" i="31" s="1"/>
  <c r="P99" i="31"/>
  <c r="P139" i="31" s="1"/>
  <c r="P101" i="31"/>
  <c r="P141" i="31" s="1"/>
  <c r="P48" i="31"/>
  <c r="Q73" i="31"/>
  <c r="Q74" i="31"/>
  <c r="Q121" i="31" s="1"/>
  <c r="Q75" i="31"/>
  <c r="Q122" i="31" s="1"/>
  <c r="Q77" i="31"/>
  <c r="Q124" i="31" s="1"/>
  <c r="R82" i="31"/>
  <c r="R84" i="31"/>
  <c r="G67" i="31" s="1"/>
  <c r="Q86" i="31"/>
  <c r="F69" i="31" s="1"/>
  <c r="Q99" i="31"/>
  <c r="Q139" i="31" s="1"/>
  <c r="Q101" i="31"/>
  <c r="Q141" i="31" s="1"/>
  <c r="Q48" i="31"/>
  <c r="K50" i="31"/>
  <c r="K53" i="31" s="1"/>
  <c r="R73" i="31"/>
  <c r="R74" i="31"/>
  <c r="R121" i="31" s="1"/>
  <c r="R75" i="31"/>
  <c r="R77" i="31"/>
  <c r="R124" i="31" s="1"/>
  <c r="O83" i="31"/>
  <c r="R86" i="31"/>
  <c r="G69" i="31" s="1"/>
  <c r="R99" i="31"/>
  <c r="R139" i="31" s="1"/>
  <c r="R101" i="31"/>
  <c r="R141" i="31" s="1"/>
  <c r="L119" i="31"/>
  <c r="R48" i="31"/>
  <c r="E67" i="31"/>
  <c r="P81" i="31"/>
  <c r="O98" i="31"/>
  <c r="O138" i="31" s="1"/>
  <c r="O100" i="31"/>
  <c r="O140" i="31" s="1"/>
  <c r="O119" i="31"/>
  <c r="Q81" i="31"/>
  <c r="Q83" i="31"/>
  <c r="Q131" i="31" s="1"/>
  <c r="P98" i="31"/>
  <c r="P138" i="31" s="1"/>
  <c r="P100" i="31"/>
  <c r="P140" i="31" s="1"/>
  <c r="P131" i="31"/>
  <c r="Q76" i="31"/>
  <c r="Q123" i="31" s="1"/>
  <c r="Q80" i="31"/>
  <c r="F72" i="31" s="1"/>
  <c r="R81" i="31"/>
  <c r="R83" i="31"/>
  <c r="R131" i="31" s="1"/>
  <c r="Q85" i="31"/>
  <c r="F68" i="31" s="1"/>
  <c r="Q88" i="31"/>
  <c r="Q89" i="31"/>
  <c r="Q90" i="31"/>
  <c r="Q98" i="31"/>
  <c r="Q138" i="31" s="1"/>
  <c r="G72" i="31"/>
  <c r="G73" i="31"/>
  <c r="G74" i="31"/>
  <c r="R76" i="31"/>
  <c r="R123" i="31" s="1"/>
  <c r="R80" i="31"/>
  <c r="R85" i="31"/>
  <c r="G68" i="31" s="1"/>
  <c r="R88" i="31"/>
  <c r="R89" i="31"/>
  <c r="R90" i="31"/>
  <c r="R98" i="31"/>
  <c r="R138" i="31" s="1"/>
  <c r="I52" i="30"/>
  <c r="R83" i="30"/>
  <c r="I51" i="30"/>
  <c r="J51" i="30"/>
  <c r="K52" i="30"/>
  <c r="L52" i="30"/>
  <c r="L51" i="30"/>
  <c r="L173" i="30"/>
  <c r="O173" i="30" s="1"/>
  <c r="L172" i="30"/>
  <c r="O172" i="30" s="1"/>
  <c r="L171" i="30"/>
  <c r="O171" i="30" s="1"/>
  <c r="I50" i="30"/>
  <c r="I53" i="30" s="1"/>
  <c r="I48" i="30"/>
  <c r="I79" i="30" s="1"/>
  <c r="P100" i="30"/>
  <c r="P140" i="30" s="1"/>
  <c r="Q50" i="30"/>
  <c r="Q100" i="30"/>
  <c r="Q140" i="30" s="1"/>
  <c r="K139" i="30"/>
  <c r="L50" i="30"/>
  <c r="L48" i="30"/>
  <c r="L79" i="30" s="1"/>
  <c r="O50" i="30"/>
  <c r="R50" i="30"/>
  <c r="R59" i="30"/>
  <c r="R57" i="30"/>
  <c r="K50" i="30"/>
  <c r="P50" i="30"/>
  <c r="O26" i="30"/>
  <c r="O48" i="30" s="1"/>
  <c r="Q31" i="30"/>
  <c r="Q101" i="30" s="1"/>
  <c r="Q141" i="30" s="1"/>
  <c r="R51" i="30"/>
  <c r="O74" i="30"/>
  <c r="O121" i="30" s="1"/>
  <c r="O75" i="30"/>
  <c r="O122" i="30" s="1"/>
  <c r="L122" i="30" s="1"/>
  <c r="O77" i="30"/>
  <c r="P82" i="30"/>
  <c r="E74" i="30" s="1"/>
  <c r="O99" i="30"/>
  <c r="O139" i="30" s="1"/>
  <c r="O101" i="30"/>
  <c r="O141" i="30" s="1"/>
  <c r="K122" i="30"/>
  <c r="K128" i="30"/>
  <c r="K135" i="30"/>
  <c r="P26" i="30"/>
  <c r="R31" i="30"/>
  <c r="R100" i="30" s="1"/>
  <c r="R140" i="30" s="1"/>
  <c r="O52" i="30"/>
  <c r="Q56" i="30"/>
  <c r="P74" i="30"/>
  <c r="P121" i="30" s="1"/>
  <c r="P75" i="30"/>
  <c r="P122" i="30" s="1"/>
  <c r="P77" i="30"/>
  <c r="P124" i="30" s="1"/>
  <c r="Q82" i="30"/>
  <c r="F74" i="30" s="1"/>
  <c r="P99" i="30"/>
  <c r="P139" i="30" s="1"/>
  <c r="P101" i="30"/>
  <c r="P141" i="30" s="1"/>
  <c r="Q26" i="30"/>
  <c r="Q48" i="30" s="1"/>
  <c r="P52" i="30"/>
  <c r="Q74" i="30"/>
  <c r="Q121" i="30" s="1"/>
  <c r="Q75" i="30"/>
  <c r="Q122" i="30" s="1"/>
  <c r="Q77" i="30"/>
  <c r="Q124" i="30" s="1"/>
  <c r="R82" i="30"/>
  <c r="Q99" i="30"/>
  <c r="Q139" i="30" s="1"/>
  <c r="O124" i="30"/>
  <c r="R26" i="30"/>
  <c r="J31" i="30"/>
  <c r="J52" i="30" s="1"/>
  <c r="J53" i="30" s="1"/>
  <c r="Q52" i="30"/>
  <c r="O57" i="30"/>
  <c r="R74" i="30"/>
  <c r="R121" i="30" s="1"/>
  <c r="R75" i="30"/>
  <c r="R122" i="30" s="1"/>
  <c r="R77" i="30"/>
  <c r="R124" i="30" s="1"/>
  <c r="O81" i="30"/>
  <c r="O83" i="30"/>
  <c r="R99" i="30"/>
  <c r="R139" i="30" s="1"/>
  <c r="R101" i="30"/>
  <c r="R141" i="30" s="1"/>
  <c r="O176" i="30"/>
  <c r="R52" i="30"/>
  <c r="P57" i="30"/>
  <c r="O58" i="30"/>
  <c r="D73" i="30"/>
  <c r="D74" i="30"/>
  <c r="D75" i="30"/>
  <c r="O76" i="30"/>
  <c r="O80" i="30"/>
  <c r="D72" i="30" s="1"/>
  <c r="P81" i="30"/>
  <c r="P83" i="30"/>
  <c r="O88" i="30"/>
  <c r="L135" i="30" s="1"/>
  <c r="O89" i="30"/>
  <c r="O90" i="30"/>
  <c r="O98" i="30"/>
  <c r="O138" i="30" s="1"/>
  <c r="O100" i="30"/>
  <c r="O140" i="30" s="1"/>
  <c r="Q57" i="30"/>
  <c r="P58" i="30"/>
  <c r="E73" i="30"/>
  <c r="E75" i="30"/>
  <c r="P76" i="30"/>
  <c r="P123" i="30" s="1"/>
  <c r="P80" i="30"/>
  <c r="Q81" i="30"/>
  <c r="Q83" i="30"/>
  <c r="P88" i="30"/>
  <c r="P89" i="30"/>
  <c r="P90" i="30"/>
  <c r="P98" i="30"/>
  <c r="P138" i="30" s="1"/>
  <c r="O177" i="30"/>
  <c r="K26" i="30"/>
  <c r="K51" i="30" s="1"/>
  <c r="F73" i="30"/>
  <c r="F75" i="30"/>
  <c r="Q76" i="30"/>
  <c r="Q123" i="30" s="1"/>
  <c r="Q80" i="30"/>
  <c r="F72" i="30" s="1"/>
  <c r="R81" i="30"/>
  <c r="G78" i="30" s="1"/>
  <c r="Q88" i="30"/>
  <c r="Q89" i="30"/>
  <c r="Q90" i="30"/>
  <c r="Q98" i="30"/>
  <c r="Q138" i="30" s="1"/>
  <c r="O123" i="30"/>
  <c r="G74" i="30"/>
  <c r="G75" i="30"/>
  <c r="R76" i="30"/>
  <c r="R123" i="30" s="1"/>
  <c r="R80" i="30"/>
  <c r="G72" i="30" s="1"/>
  <c r="R88" i="30"/>
  <c r="R89" i="30"/>
  <c r="R90" i="30"/>
  <c r="R98" i="30"/>
  <c r="R138" i="30" s="1"/>
  <c r="AF248" i="15"/>
  <c r="K108" i="15"/>
  <c r="L108" i="15"/>
  <c r="M108" i="15"/>
  <c r="K109" i="15"/>
  <c r="L109" i="15"/>
  <c r="M109" i="15"/>
  <c r="K110" i="15"/>
  <c r="L110" i="15"/>
  <c r="M110" i="15"/>
  <c r="K111" i="15"/>
  <c r="L111" i="15"/>
  <c r="M111" i="15"/>
  <c r="J108" i="15"/>
  <c r="K82" i="15"/>
  <c r="P82" i="15" s="1"/>
  <c r="L82" i="15"/>
  <c r="M82" i="15"/>
  <c r="R82" i="15" s="1"/>
  <c r="K83" i="15"/>
  <c r="L83" i="15"/>
  <c r="M83" i="15"/>
  <c r="K84" i="15"/>
  <c r="L84" i="15"/>
  <c r="M84" i="15"/>
  <c r="K85" i="15"/>
  <c r="L85" i="15"/>
  <c r="M85" i="15"/>
  <c r="J83" i="15"/>
  <c r="J84" i="15"/>
  <c r="J85" i="15"/>
  <c r="J82" i="15"/>
  <c r="P251" i="15"/>
  <c r="Z251" i="15" s="1"/>
  <c r="Q251" i="15"/>
  <c r="AA251" i="15" s="1"/>
  <c r="R251" i="15"/>
  <c r="AB251" i="15" s="1"/>
  <c r="P252" i="15"/>
  <c r="Q252" i="15"/>
  <c r="R252" i="15"/>
  <c r="P253" i="15"/>
  <c r="Q253" i="15"/>
  <c r="R253" i="15"/>
  <c r="P254" i="15"/>
  <c r="Q254" i="15"/>
  <c r="R254" i="15"/>
  <c r="O252" i="15"/>
  <c r="O253" i="15"/>
  <c r="O254" i="15"/>
  <c r="O251" i="15"/>
  <c r="Y251" i="15" s="1"/>
  <c r="P247" i="15"/>
  <c r="Z247" i="15" s="1"/>
  <c r="Q247" i="15"/>
  <c r="V247" i="15" s="1"/>
  <c r="R247" i="15"/>
  <c r="AB247" i="15" s="1"/>
  <c r="P248" i="15"/>
  <c r="Q248" i="15"/>
  <c r="R248" i="15"/>
  <c r="P249" i="15"/>
  <c r="Q249" i="15"/>
  <c r="R249" i="15"/>
  <c r="P250" i="15"/>
  <c r="Q250" i="15"/>
  <c r="R250" i="15"/>
  <c r="O248" i="15"/>
  <c r="O249" i="15"/>
  <c r="O250" i="15"/>
  <c r="O247" i="15"/>
  <c r="Y247" i="15" s="1"/>
  <c r="P243" i="15"/>
  <c r="Z243" i="15" s="1"/>
  <c r="Q243" i="15"/>
  <c r="AA243" i="15" s="1"/>
  <c r="R243" i="15"/>
  <c r="AB243" i="15" s="1"/>
  <c r="P244" i="15"/>
  <c r="Q244" i="15"/>
  <c r="R244" i="15"/>
  <c r="P245" i="15"/>
  <c r="Q245" i="15"/>
  <c r="R245" i="15"/>
  <c r="P246" i="15"/>
  <c r="Q246" i="15"/>
  <c r="R246" i="15"/>
  <c r="O244" i="15"/>
  <c r="O245" i="15"/>
  <c r="O246" i="15"/>
  <c r="O243" i="15"/>
  <c r="Y243" i="15" s="1"/>
  <c r="P235" i="15"/>
  <c r="Z235" i="15" s="1"/>
  <c r="Q235" i="15"/>
  <c r="AA235" i="15" s="1"/>
  <c r="R235" i="15"/>
  <c r="AB235" i="15" s="1"/>
  <c r="P236" i="15"/>
  <c r="Q236" i="15"/>
  <c r="R236" i="15"/>
  <c r="P237" i="15"/>
  <c r="Q237" i="15"/>
  <c r="R237" i="15"/>
  <c r="P238" i="15"/>
  <c r="Q238" i="15"/>
  <c r="R238" i="15"/>
  <c r="O236" i="15"/>
  <c r="O237" i="15"/>
  <c r="O238" i="15"/>
  <c r="O235" i="15"/>
  <c r="Y235" i="15" s="1"/>
  <c r="P231" i="15"/>
  <c r="U231" i="15" s="1"/>
  <c r="Q231" i="15"/>
  <c r="AA231" i="15" s="1"/>
  <c r="R231" i="15"/>
  <c r="AB231" i="15" s="1"/>
  <c r="P232" i="15"/>
  <c r="Q232" i="15"/>
  <c r="R232" i="15"/>
  <c r="P233" i="15"/>
  <c r="Q233" i="15"/>
  <c r="R233" i="15"/>
  <c r="P234" i="15"/>
  <c r="Q234" i="15"/>
  <c r="R234" i="15"/>
  <c r="O232" i="15"/>
  <c r="O233" i="15"/>
  <c r="O234" i="15"/>
  <c r="O231" i="15"/>
  <c r="Y231" i="15" s="1"/>
  <c r="AE204" i="15"/>
  <c r="AE216" i="15"/>
  <c r="Z208" i="15"/>
  <c r="AA208" i="15"/>
  <c r="U224" i="15"/>
  <c r="V224" i="15"/>
  <c r="U216" i="15"/>
  <c r="V216" i="15"/>
  <c r="U204" i="15"/>
  <c r="V204" i="15"/>
  <c r="P224" i="15"/>
  <c r="Z224" i="15" s="1"/>
  <c r="Q224" i="15"/>
  <c r="AA224" i="15" s="1"/>
  <c r="R224" i="15"/>
  <c r="AB224" i="15" s="1"/>
  <c r="O225" i="15"/>
  <c r="O224" i="15"/>
  <c r="T224" i="15" s="1"/>
  <c r="P220" i="15"/>
  <c r="U220" i="15" s="1"/>
  <c r="Q220" i="15"/>
  <c r="V220" i="15" s="1"/>
  <c r="R220" i="15"/>
  <c r="W220" i="15" s="1"/>
  <c r="O221" i="15"/>
  <c r="O220" i="15"/>
  <c r="Y220" i="15" s="1"/>
  <c r="P216" i="15"/>
  <c r="Z216" i="15" s="1"/>
  <c r="Q216" i="15"/>
  <c r="AA216" i="15" s="1"/>
  <c r="R216" i="15"/>
  <c r="AB216" i="15" s="1"/>
  <c r="O217" i="15"/>
  <c r="O216" i="15"/>
  <c r="T216" i="15" s="1"/>
  <c r="P208" i="15"/>
  <c r="U208" i="15" s="1"/>
  <c r="Q208" i="15"/>
  <c r="V208" i="15" s="1"/>
  <c r="R208" i="15"/>
  <c r="W208" i="15" s="1"/>
  <c r="P204" i="15"/>
  <c r="Z204" i="15" s="1"/>
  <c r="Q204" i="15"/>
  <c r="AA204" i="15" s="1"/>
  <c r="R204" i="15"/>
  <c r="AB204" i="15" s="1"/>
  <c r="O209" i="15"/>
  <c r="O208" i="15"/>
  <c r="Y208" i="15" s="1"/>
  <c r="O205" i="15"/>
  <c r="O204" i="15"/>
  <c r="T204" i="15" s="1"/>
  <c r="Y196" i="15"/>
  <c r="Y192" i="15"/>
  <c r="O197" i="15"/>
  <c r="O196" i="15"/>
  <c r="T196" i="15" s="1"/>
  <c r="O193" i="15"/>
  <c r="O192" i="15"/>
  <c r="AD192" i="15" s="1"/>
  <c r="O189" i="15"/>
  <c r="O185" i="15"/>
  <c r="O188" i="15"/>
  <c r="AD188" i="15" s="1"/>
  <c r="O184" i="15"/>
  <c r="AD184" i="15" s="1"/>
  <c r="O181" i="15"/>
  <c r="T181" i="15" s="1"/>
  <c r="O180" i="15"/>
  <c r="T180" i="15" s="1"/>
  <c r="O177" i="15"/>
  <c r="T177" i="15" s="1"/>
  <c r="AG230" i="15"/>
  <c r="AG251" i="15" s="1"/>
  <c r="AF230" i="15"/>
  <c r="AE230" i="15"/>
  <c r="AD230" i="15"/>
  <c r="AD247" i="15" s="1"/>
  <c r="AF203" i="15"/>
  <c r="AF204" i="15" s="1"/>
  <c r="AG203" i="15"/>
  <c r="AG208" i="15" s="1"/>
  <c r="AE203" i="15"/>
  <c r="AE208" i="15" s="1"/>
  <c r="AD203" i="15"/>
  <c r="AG175" i="15"/>
  <c r="AF175" i="15"/>
  <c r="AE175" i="15"/>
  <c r="AD175" i="15"/>
  <c r="AD180" i="15" s="1"/>
  <c r="AG147" i="15"/>
  <c r="AF147" i="15"/>
  <c r="AE147" i="15"/>
  <c r="AD147" i="15"/>
  <c r="AI116" i="15"/>
  <c r="AK78" i="15"/>
  <c r="AL78" i="15"/>
  <c r="AK82" i="15"/>
  <c r="AJ90" i="15"/>
  <c r="AK90" i="15"/>
  <c r="AK94" i="15"/>
  <c r="AI75" i="15"/>
  <c r="AI94" i="15"/>
  <c r="AL86" i="15"/>
  <c r="AK86" i="15"/>
  <c r="AJ78" i="15"/>
  <c r="AI129" i="15"/>
  <c r="Y164" i="15"/>
  <c r="T164" i="15"/>
  <c r="T160" i="15"/>
  <c r="T156" i="15"/>
  <c r="O169" i="15"/>
  <c r="O168" i="15"/>
  <c r="T168" i="15" s="1"/>
  <c r="O165" i="15"/>
  <c r="O164" i="15"/>
  <c r="O160" i="15"/>
  <c r="Y160" i="15" s="1"/>
  <c r="O161" i="15"/>
  <c r="O157" i="15"/>
  <c r="O156" i="15"/>
  <c r="Y156" i="15" s="1"/>
  <c r="O153" i="15"/>
  <c r="O152" i="15"/>
  <c r="Y152" i="15" s="1"/>
  <c r="O149" i="15"/>
  <c r="Y149" i="15" s="1"/>
  <c r="Y124" i="15"/>
  <c r="Y128" i="15"/>
  <c r="AD124" i="15"/>
  <c r="AD128" i="15"/>
  <c r="Y120" i="15"/>
  <c r="Y116" i="15"/>
  <c r="Y112" i="15"/>
  <c r="Y109" i="15"/>
  <c r="T128" i="15"/>
  <c r="T124" i="15"/>
  <c r="T120" i="15"/>
  <c r="T116" i="15"/>
  <c r="T112" i="15"/>
  <c r="O128" i="15"/>
  <c r="O124" i="15"/>
  <c r="O120" i="15"/>
  <c r="O116" i="15"/>
  <c r="O112" i="15"/>
  <c r="O108" i="15"/>
  <c r="T108" i="15" s="1"/>
  <c r="J124" i="15"/>
  <c r="K124" i="15"/>
  <c r="P124" i="15" s="1"/>
  <c r="Z124" i="15" s="1"/>
  <c r="L124" i="15"/>
  <c r="Q124" i="15" s="1"/>
  <c r="Q164" i="15" s="1"/>
  <c r="AA164" i="15" s="1"/>
  <c r="M124" i="15"/>
  <c r="R124" i="15" s="1"/>
  <c r="R164" i="15" s="1"/>
  <c r="J128" i="15"/>
  <c r="K128" i="15"/>
  <c r="P128" i="15" s="1"/>
  <c r="P168" i="15" s="1"/>
  <c r="U168" i="15" s="1"/>
  <c r="L128" i="15"/>
  <c r="Q128" i="15" s="1"/>
  <c r="AK128" i="15" s="1"/>
  <c r="M128" i="15"/>
  <c r="R128" i="15" s="1"/>
  <c r="AG128" i="15" s="1"/>
  <c r="J120" i="15"/>
  <c r="K120" i="15"/>
  <c r="P120" i="15" s="1"/>
  <c r="P160" i="15" s="1"/>
  <c r="U160" i="15" s="1"/>
  <c r="L120" i="15"/>
  <c r="Q120" i="15" s="1"/>
  <c r="Q160" i="15" s="1"/>
  <c r="V160" i="15" s="1"/>
  <c r="M120" i="15"/>
  <c r="R120" i="15" s="1"/>
  <c r="R160" i="15" s="1"/>
  <c r="J116" i="15"/>
  <c r="K116" i="15"/>
  <c r="P116" i="15" s="1"/>
  <c r="P156" i="15" s="1"/>
  <c r="L116" i="15"/>
  <c r="Q116" i="15" s="1"/>
  <c r="Q156" i="15" s="1"/>
  <c r="AA156" i="15" s="1"/>
  <c r="M116" i="15"/>
  <c r="R116" i="15" s="1"/>
  <c r="R156" i="15" s="1"/>
  <c r="AG156" i="15" s="1"/>
  <c r="J112" i="15"/>
  <c r="K112" i="15"/>
  <c r="P112" i="15" s="1"/>
  <c r="P152" i="15" s="1"/>
  <c r="L112" i="15"/>
  <c r="Q112" i="15" s="1"/>
  <c r="Q152" i="15" s="1"/>
  <c r="M112" i="15"/>
  <c r="R112" i="15" s="1"/>
  <c r="R152" i="15" s="1"/>
  <c r="P108" i="15"/>
  <c r="P148" i="15" s="1"/>
  <c r="U148" i="15" s="1"/>
  <c r="Q108" i="15"/>
  <c r="Q148" i="15" s="1"/>
  <c r="AA148" i="15" s="1"/>
  <c r="R108" i="15"/>
  <c r="R148" i="15" s="1"/>
  <c r="AG148" i="15" s="1"/>
  <c r="T94" i="15"/>
  <c r="U94" i="15"/>
  <c r="V94" i="15"/>
  <c r="W94" i="15"/>
  <c r="T90" i="15"/>
  <c r="U90" i="15"/>
  <c r="V90" i="15"/>
  <c r="W90" i="15"/>
  <c r="T86" i="15"/>
  <c r="U86" i="15"/>
  <c r="V86" i="15"/>
  <c r="W86" i="15"/>
  <c r="Y86" i="15"/>
  <c r="Z86" i="15"/>
  <c r="AA86" i="15"/>
  <c r="AB86" i="15"/>
  <c r="Y90" i="15"/>
  <c r="Z90" i="15"/>
  <c r="AA90" i="15"/>
  <c r="AB90" i="15"/>
  <c r="Y94" i="15"/>
  <c r="Z94" i="15"/>
  <c r="AA94" i="15"/>
  <c r="AB94" i="15"/>
  <c r="AE94" i="15"/>
  <c r="AF94" i="15"/>
  <c r="AE90" i="15"/>
  <c r="AF78" i="15"/>
  <c r="AG78" i="15"/>
  <c r="Y78" i="15"/>
  <c r="Z78" i="15"/>
  <c r="AA78" i="15"/>
  <c r="AB78" i="15"/>
  <c r="T78" i="15"/>
  <c r="U78" i="15"/>
  <c r="V78" i="15"/>
  <c r="W78" i="15"/>
  <c r="AE74" i="15"/>
  <c r="AG74" i="15"/>
  <c r="Y74" i="15"/>
  <c r="Z74" i="15"/>
  <c r="AA74" i="15"/>
  <c r="AB74" i="15"/>
  <c r="T74" i="15"/>
  <c r="U74" i="15"/>
  <c r="V74" i="15"/>
  <c r="W74" i="15"/>
  <c r="AG94" i="15"/>
  <c r="AF82" i="15"/>
  <c r="AE86" i="15"/>
  <c r="AD74" i="15"/>
  <c r="P94" i="15"/>
  <c r="Q94" i="15"/>
  <c r="R94" i="15"/>
  <c r="O94" i="15"/>
  <c r="P90" i="15"/>
  <c r="Q90" i="15"/>
  <c r="R90" i="15"/>
  <c r="O90" i="15"/>
  <c r="P86" i="15"/>
  <c r="Q86" i="15"/>
  <c r="R86" i="15"/>
  <c r="O86" i="15"/>
  <c r="Q82" i="15"/>
  <c r="AA82" i="15" s="1"/>
  <c r="O82" i="15"/>
  <c r="O239" i="15" s="1"/>
  <c r="Y239" i="15" s="1"/>
  <c r="P78" i="15"/>
  <c r="Q78" i="15"/>
  <c r="R78" i="15"/>
  <c r="O78" i="15"/>
  <c r="P74" i="15"/>
  <c r="Q74" i="15"/>
  <c r="R74" i="15"/>
  <c r="O74" i="15"/>
  <c r="K94" i="15"/>
  <c r="L94" i="15"/>
  <c r="M94" i="15"/>
  <c r="J94" i="15"/>
  <c r="K90" i="15"/>
  <c r="L90" i="15"/>
  <c r="M90" i="15"/>
  <c r="J90" i="15"/>
  <c r="K86" i="15"/>
  <c r="L86" i="15"/>
  <c r="M86" i="15"/>
  <c r="J86" i="15"/>
  <c r="K78" i="15"/>
  <c r="L78" i="15"/>
  <c r="M78" i="15"/>
  <c r="J78" i="15"/>
  <c r="K74" i="15"/>
  <c r="L74" i="15"/>
  <c r="M74" i="15"/>
  <c r="K75" i="15"/>
  <c r="L75" i="15"/>
  <c r="M75" i="15"/>
  <c r="K76" i="15"/>
  <c r="L76" i="15"/>
  <c r="M76" i="15"/>
  <c r="K77" i="15"/>
  <c r="L77" i="15"/>
  <c r="M77" i="15"/>
  <c r="J75" i="15"/>
  <c r="J76" i="15"/>
  <c r="J77" i="15"/>
  <c r="J74" i="15"/>
  <c r="H44" i="15"/>
  <c r="I44" i="15"/>
  <c r="J44" i="15"/>
  <c r="G44" i="15"/>
  <c r="H39" i="15"/>
  <c r="I39" i="15"/>
  <c r="J39" i="15"/>
  <c r="G39" i="15"/>
  <c r="H34" i="15"/>
  <c r="I34" i="15"/>
  <c r="J34" i="15"/>
  <c r="G34" i="15"/>
  <c r="G68" i="13"/>
  <c r="G69" i="13"/>
  <c r="G70" i="13"/>
  <c r="G67" i="13"/>
  <c r="G79" i="13"/>
  <c r="F68" i="13"/>
  <c r="F69" i="13"/>
  <c r="F70" i="13"/>
  <c r="F79" i="13" s="1"/>
  <c r="F67" i="13"/>
  <c r="F81" i="13"/>
  <c r="E68" i="13"/>
  <c r="E69" i="13"/>
  <c r="E70" i="13"/>
  <c r="E79" i="13" s="1"/>
  <c r="E67" i="13"/>
  <c r="E81" i="13" s="1"/>
  <c r="D68" i="13"/>
  <c r="D69" i="13"/>
  <c r="D70" i="13"/>
  <c r="D67" i="13"/>
  <c r="A71" i="13"/>
  <c r="A70" i="13"/>
  <c r="D73" i="13"/>
  <c r="D74" i="13"/>
  <c r="D75" i="13"/>
  <c r="D72" i="13"/>
  <c r="G72" i="13"/>
  <c r="G73" i="13"/>
  <c r="G74" i="13"/>
  <c r="G75" i="13"/>
  <c r="F72" i="13"/>
  <c r="F73" i="13"/>
  <c r="F74" i="13"/>
  <c r="F75" i="13"/>
  <c r="E73" i="13"/>
  <c r="E74" i="13"/>
  <c r="E75" i="13"/>
  <c r="E72" i="13"/>
  <c r="E60" i="13"/>
  <c r="F60" i="13"/>
  <c r="G60" i="13"/>
  <c r="D60" i="13"/>
  <c r="D62" i="13"/>
  <c r="E62" i="13"/>
  <c r="F62" i="13"/>
  <c r="G62" i="13"/>
  <c r="J117" i="13"/>
  <c r="K117" i="13"/>
  <c r="L117" i="13"/>
  <c r="I117" i="13"/>
  <c r="J113" i="13"/>
  <c r="K113" i="13"/>
  <c r="L113" i="13"/>
  <c r="J114" i="13"/>
  <c r="K114" i="13"/>
  <c r="L114" i="13"/>
  <c r="J115" i="13"/>
  <c r="K115" i="13"/>
  <c r="L115" i="13"/>
  <c r="J116" i="13"/>
  <c r="K116" i="13"/>
  <c r="L116" i="13"/>
  <c r="I114" i="13"/>
  <c r="I115" i="13"/>
  <c r="I116" i="13"/>
  <c r="I113" i="13"/>
  <c r="L119" i="13"/>
  <c r="K119" i="13"/>
  <c r="I111" i="13"/>
  <c r="J111" i="13"/>
  <c r="K111" i="13"/>
  <c r="L111" i="13"/>
  <c r="J98" i="13"/>
  <c r="K98" i="13"/>
  <c r="L98" i="13"/>
  <c r="I98" i="13"/>
  <c r="I97" i="13"/>
  <c r="J97" i="13"/>
  <c r="K97" i="13"/>
  <c r="L97" i="13"/>
  <c r="I91" i="13"/>
  <c r="J91" i="13"/>
  <c r="K91" i="13"/>
  <c r="L91" i="13"/>
  <c r="P155" i="13"/>
  <c r="P160" i="13" s="1"/>
  <c r="Q155" i="13"/>
  <c r="R155" i="13"/>
  <c r="R160" i="13" s="1"/>
  <c r="P156" i="13"/>
  <c r="Q156" i="13"/>
  <c r="R156" i="13"/>
  <c r="R161" i="13" s="1"/>
  <c r="P157" i="13"/>
  <c r="Q157" i="13"/>
  <c r="Q162" i="13" s="1"/>
  <c r="R157" i="13"/>
  <c r="R162" i="13" s="1"/>
  <c r="P158" i="13"/>
  <c r="Q158" i="13"/>
  <c r="Q163" i="13" s="1"/>
  <c r="R158" i="13"/>
  <c r="Q160" i="13"/>
  <c r="P161" i="13"/>
  <c r="Q161" i="13"/>
  <c r="P162" i="13"/>
  <c r="P163" i="13"/>
  <c r="R163" i="13"/>
  <c r="O161" i="13"/>
  <c r="O162" i="13"/>
  <c r="O163" i="13"/>
  <c r="O160" i="13"/>
  <c r="O155" i="13"/>
  <c r="O156" i="13"/>
  <c r="O157" i="13"/>
  <c r="P151" i="13"/>
  <c r="Q151" i="13"/>
  <c r="R151" i="13"/>
  <c r="P152" i="13"/>
  <c r="Q152" i="13"/>
  <c r="R152" i="13"/>
  <c r="P153" i="13"/>
  <c r="Q153" i="13"/>
  <c r="R153" i="13"/>
  <c r="P154" i="13"/>
  <c r="Q154" i="13"/>
  <c r="R154" i="13"/>
  <c r="O151" i="13"/>
  <c r="O152" i="13"/>
  <c r="O153" i="13"/>
  <c r="O154" i="13"/>
  <c r="P147" i="13"/>
  <c r="Q147" i="13"/>
  <c r="R147" i="13"/>
  <c r="O147" i="13"/>
  <c r="P143" i="13"/>
  <c r="Q143" i="13"/>
  <c r="R143" i="13"/>
  <c r="P144" i="13"/>
  <c r="Q144" i="13"/>
  <c r="R144" i="13"/>
  <c r="P145" i="13"/>
  <c r="Q145" i="13"/>
  <c r="R145" i="13"/>
  <c r="P146" i="13"/>
  <c r="Q146" i="13"/>
  <c r="R146" i="13"/>
  <c r="O143" i="13"/>
  <c r="O144" i="13"/>
  <c r="O145" i="13"/>
  <c r="O146" i="13"/>
  <c r="R129" i="13"/>
  <c r="R130" i="13"/>
  <c r="R131" i="13"/>
  <c r="R128" i="13"/>
  <c r="Q129" i="13"/>
  <c r="Q130" i="13"/>
  <c r="Q131" i="13"/>
  <c r="Q128" i="13"/>
  <c r="P129" i="13"/>
  <c r="P130" i="13"/>
  <c r="P131" i="13"/>
  <c r="P128" i="13"/>
  <c r="O129" i="13"/>
  <c r="O130" i="13"/>
  <c r="O131" i="13"/>
  <c r="O128" i="13"/>
  <c r="P138" i="13"/>
  <c r="Q138" i="13"/>
  <c r="R138" i="13"/>
  <c r="P139" i="13"/>
  <c r="Q139" i="13"/>
  <c r="R139" i="13"/>
  <c r="P140" i="13"/>
  <c r="Q140" i="13"/>
  <c r="R140" i="13"/>
  <c r="P141" i="13"/>
  <c r="Q141" i="13"/>
  <c r="R141" i="13"/>
  <c r="O138" i="13"/>
  <c r="O139" i="13"/>
  <c r="O140" i="13"/>
  <c r="O141" i="13"/>
  <c r="R99" i="13"/>
  <c r="R100" i="13"/>
  <c r="R101" i="13"/>
  <c r="R98" i="13"/>
  <c r="Q99" i="13"/>
  <c r="Q100" i="13"/>
  <c r="Q101" i="13"/>
  <c r="Q98" i="13"/>
  <c r="P99" i="13"/>
  <c r="P100" i="13"/>
  <c r="P101" i="13"/>
  <c r="P98" i="13"/>
  <c r="O99" i="13"/>
  <c r="O100" i="13"/>
  <c r="O101" i="13"/>
  <c r="O98" i="13"/>
  <c r="R89" i="13"/>
  <c r="R90" i="13"/>
  <c r="R91" i="13"/>
  <c r="R88" i="13"/>
  <c r="Q89" i="13"/>
  <c r="Q90" i="13"/>
  <c r="Q91" i="13"/>
  <c r="Q88" i="13"/>
  <c r="P89" i="13"/>
  <c r="P90" i="13"/>
  <c r="P91" i="13"/>
  <c r="P88" i="13"/>
  <c r="O89" i="13"/>
  <c r="O90" i="13"/>
  <c r="O91" i="13"/>
  <c r="O88" i="13"/>
  <c r="R85" i="13"/>
  <c r="R86" i="13"/>
  <c r="R87" i="13"/>
  <c r="R84" i="13"/>
  <c r="Q85" i="13"/>
  <c r="Q86" i="13"/>
  <c r="Q87" i="13"/>
  <c r="Q84" i="13"/>
  <c r="P85" i="13"/>
  <c r="P86" i="13"/>
  <c r="P87" i="13"/>
  <c r="P84" i="13"/>
  <c r="O85" i="13"/>
  <c r="O86" i="13"/>
  <c r="O87" i="13"/>
  <c r="O84" i="13"/>
  <c r="R81" i="13"/>
  <c r="R82" i="13"/>
  <c r="R113" i="13" s="1"/>
  <c r="R83" i="13"/>
  <c r="R80" i="13"/>
  <c r="Q81" i="13"/>
  <c r="Q82" i="13"/>
  <c r="Q83" i="13"/>
  <c r="Q80" i="13"/>
  <c r="P81" i="13"/>
  <c r="P82" i="13"/>
  <c r="P113" i="13" s="1"/>
  <c r="P83" i="13"/>
  <c r="P80" i="13"/>
  <c r="R75" i="13"/>
  <c r="R122" i="13" s="1"/>
  <c r="R76" i="13"/>
  <c r="R77" i="13"/>
  <c r="R124" i="13" s="1"/>
  <c r="R74" i="13"/>
  <c r="Q75" i="13"/>
  <c r="Q76" i="13"/>
  <c r="Q123" i="13" s="1"/>
  <c r="Q77" i="13"/>
  <c r="Q124" i="13" s="1"/>
  <c r="Q74" i="13"/>
  <c r="P75" i="13"/>
  <c r="P122" i="13" s="1"/>
  <c r="P76" i="13"/>
  <c r="P77" i="13"/>
  <c r="P74" i="13"/>
  <c r="O75" i="13"/>
  <c r="O122" i="13" s="1"/>
  <c r="O76" i="13"/>
  <c r="O77" i="13"/>
  <c r="O124" i="13" s="1"/>
  <c r="O74" i="13"/>
  <c r="O121" i="13" s="1"/>
  <c r="R121" i="13"/>
  <c r="R123" i="13"/>
  <c r="Q121" i="13"/>
  <c r="Q122" i="13"/>
  <c r="P121" i="13"/>
  <c r="P123" i="13"/>
  <c r="P124" i="13"/>
  <c r="O123" i="13"/>
  <c r="R117" i="13"/>
  <c r="R71" i="13"/>
  <c r="R72" i="13"/>
  <c r="R73" i="13"/>
  <c r="R70" i="13"/>
  <c r="Q71" i="13"/>
  <c r="Q72" i="13"/>
  <c r="Q73" i="13"/>
  <c r="Q70" i="13"/>
  <c r="Q117" i="13" s="1"/>
  <c r="P71" i="13"/>
  <c r="P72" i="13"/>
  <c r="P73" i="13"/>
  <c r="P70" i="13"/>
  <c r="O71" i="13"/>
  <c r="O72" i="13"/>
  <c r="O73" i="13"/>
  <c r="O70" i="13"/>
  <c r="P117" i="13"/>
  <c r="O117" i="13"/>
  <c r="O81" i="13"/>
  <c r="O82" i="13"/>
  <c r="O83" i="13"/>
  <c r="O80" i="13"/>
  <c r="AD207" i="33" l="1"/>
  <c r="AF227" i="33"/>
  <c r="AB249" i="33"/>
  <c r="AD234" i="33"/>
  <c r="AG249" i="33"/>
  <c r="T234" i="33"/>
  <c r="AG223" i="33"/>
  <c r="AB248" i="33"/>
  <c r="W223" i="33"/>
  <c r="W248" i="33"/>
  <c r="AD160" i="15"/>
  <c r="AD208" i="15"/>
  <c r="Y184" i="15"/>
  <c r="T208" i="15"/>
  <c r="T220" i="15"/>
  <c r="Y204" i="15"/>
  <c r="Y216" i="15"/>
  <c r="Y224" i="15"/>
  <c r="T235" i="15"/>
  <c r="T243" i="15"/>
  <c r="T251" i="15"/>
  <c r="V231" i="15"/>
  <c r="AA247" i="15"/>
  <c r="U247" i="15"/>
  <c r="T152" i="15"/>
  <c r="Y188" i="15"/>
  <c r="W204" i="15"/>
  <c r="W216" i="15"/>
  <c r="W224" i="15"/>
  <c r="AB208" i="15"/>
  <c r="AB220" i="15"/>
  <c r="AE224" i="15"/>
  <c r="W231" i="15"/>
  <c r="W247" i="15"/>
  <c r="AF231" i="15"/>
  <c r="T188" i="15"/>
  <c r="AD196" i="15"/>
  <c r="T231" i="15"/>
  <c r="T239" i="15"/>
  <c r="T247" i="15"/>
  <c r="AF251" i="15"/>
  <c r="AA220" i="15"/>
  <c r="Z231" i="15"/>
  <c r="AE247" i="15"/>
  <c r="T192" i="15"/>
  <c r="W235" i="15"/>
  <c r="W243" i="15"/>
  <c r="W251" i="15"/>
  <c r="AF247" i="15"/>
  <c r="V235" i="15"/>
  <c r="V243" i="15"/>
  <c r="V251" i="15"/>
  <c r="T184" i="15"/>
  <c r="Z220" i="15"/>
  <c r="Y180" i="15"/>
  <c r="U235" i="15"/>
  <c r="U243" i="15"/>
  <c r="U251" i="15"/>
  <c r="T227" i="33"/>
  <c r="T254" i="33"/>
  <c r="AD254" i="33"/>
  <c r="P112" i="31"/>
  <c r="E63" i="31" s="1"/>
  <c r="P128" i="31"/>
  <c r="O128" i="31"/>
  <c r="O130" i="31"/>
  <c r="O145" i="31" s="1"/>
  <c r="W190" i="33"/>
  <c r="AG190" i="33"/>
  <c r="AB190" i="33"/>
  <c r="AG207" i="33"/>
  <c r="W207" i="33"/>
  <c r="AB207" i="33"/>
  <c r="AD196" i="33"/>
  <c r="T196" i="33"/>
  <c r="Y196" i="33"/>
  <c r="W150" i="33"/>
  <c r="AG150" i="33"/>
  <c r="AB150" i="33"/>
  <c r="AF149" i="33"/>
  <c r="V149" i="33"/>
  <c r="AA149" i="33"/>
  <c r="AD156" i="33"/>
  <c r="T156" i="33"/>
  <c r="Y156" i="33"/>
  <c r="AA214" i="33"/>
  <c r="V214" i="33"/>
  <c r="AF214" i="33"/>
  <c r="AF162" i="33"/>
  <c r="V162" i="33"/>
  <c r="AA162" i="33"/>
  <c r="AE197" i="33"/>
  <c r="U197" i="33"/>
  <c r="Z197" i="33"/>
  <c r="AG231" i="33"/>
  <c r="W231" i="33"/>
  <c r="AB231" i="33"/>
  <c r="AF186" i="33"/>
  <c r="V186" i="33"/>
  <c r="AA186" i="33"/>
  <c r="AE254" i="33"/>
  <c r="U254" i="33"/>
  <c r="Z254" i="33"/>
  <c r="Y240" i="33"/>
  <c r="T240" i="33"/>
  <c r="AD240" i="33"/>
  <c r="AB169" i="33"/>
  <c r="AG169" i="33"/>
  <c r="W169" i="33"/>
  <c r="Z185" i="33"/>
  <c r="U185" i="33"/>
  <c r="AE185" i="33"/>
  <c r="AD188" i="33"/>
  <c r="T188" i="33"/>
  <c r="Y188" i="33"/>
  <c r="AG155" i="33"/>
  <c r="W155" i="33"/>
  <c r="AB155" i="33"/>
  <c r="AD159" i="33"/>
  <c r="T159" i="33"/>
  <c r="Y159" i="33"/>
  <c r="AB195" i="33"/>
  <c r="AG195" i="33"/>
  <c r="W195" i="33"/>
  <c r="AD177" i="33"/>
  <c r="T177" i="33"/>
  <c r="Y177" i="33"/>
  <c r="AB198" i="33"/>
  <c r="AG198" i="33"/>
  <c r="W198" i="33"/>
  <c r="AG182" i="33"/>
  <c r="AB182" i="33"/>
  <c r="W182" i="33"/>
  <c r="AF154" i="33"/>
  <c r="V154" i="33"/>
  <c r="AA154" i="33"/>
  <c r="AF196" i="33"/>
  <c r="V196" i="33"/>
  <c r="AA196" i="33"/>
  <c r="AG234" i="33"/>
  <c r="W234" i="33"/>
  <c r="AB234" i="33"/>
  <c r="AD158" i="33"/>
  <c r="T158" i="33"/>
  <c r="Y158" i="33"/>
  <c r="Z192" i="33"/>
  <c r="AE192" i="33"/>
  <c r="U192" i="33"/>
  <c r="AG178" i="33"/>
  <c r="AB178" i="33"/>
  <c r="W178" i="33"/>
  <c r="AF177" i="33"/>
  <c r="V177" i="33"/>
  <c r="AA177" i="33"/>
  <c r="AD157" i="33"/>
  <c r="T157" i="33"/>
  <c r="Y157" i="33"/>
  <c r="U182" i="33"/>
  <c r="AE182" i="33"/>
  <c r="Z182" i="33"/>
  <c r="AG160" i="33"/>
  <c r="W160" i="33"/>
  <c r="AB160" i="33"/>
  <c r="AF151" i="33"/>
  <c r="V151" i="33"/>
  <c r="AA151" i="33"/>
  <c r="AF190" i="33"/>
  <c r="V190" i="33"/>
  <c r="AA190" i="33"/>
  <c r="AD169" i="33"/>
  <c r="T169" i="33"/>
  <c r="Y169" i="33"/>
  <c r="AD150" i="33"/>
  <c r="T150" i="33"/>
  <c r="Y150" i="33"/>
  <c r="AG205" i="33"/>
  <c r="W205" i="33"/>
  <c r="AB205" i="33"/>
  <c r="AE248" i="33"/>
  <c r="U248" i="33"/>
  <c r="Z248" i="33"/>
  <c r="AD161" i="33"/>
  <c r="T161" i="33"/>
  <c r="Y161" i="33"/>
  <c r="Z227" i="33"/>
  <c r="AE227" i="33"/>
  <c r="U227" i="33"/>
  <c r="AB197" i="33"/>
  <c r="AG197" i="33"/>
  <c r="W197" i="33"/>
  <c r="AF156" i="33"/>
  <c r="V156" i="33"/>
  <c r="AA156" i="33"/>
  <c r="Z189" i="33"/>
  <c r="AE189" i="33"/>
  <c r="U189" i="33"/>
  <c r="AD187" i="33"/>
  <c r="T187" i="33"/>
  <c r="Y187" i="33"/>
  <c r="AA170" i="33"/>
  <c r="AF170" i="33"/>
  <c r="V170" i="33"/>
  <c r="AD181" i="33"/>
  <c r="T181" i="33"/>
  <c r="Y181" i="33"/>
  <c r="AF182" i="33"/>
  <c r="V182" i="33"/>
  <c r="AA182" i="33"/>
  <c r="Z166" i="33"/>
  <c r="AE166" i="33"/>
  <c r="U166" i="33"/>
  <c r="AB171" i="33"/>
  <c r="AG171" i="33"/>
  <c r="W171" i="33"/>
  <c r="Z223" i="33"/>
  <c r="AE223" i="33"/>
  <c r="U223" i="33"/>
  <c r="AF161" i="33"/>
  <c r="V161" i="33"/>
  <c r="AA161" i="33"/>
  <c r="AF195" i="33"/>
  <c r="V195" i="33"/>
  <c r="AA195" i="33"/>
  <c r="Z170" i="33"/>
  <c r="AE170" i="33"/>
  <c r="U170" i="33"/>
  <c r="Z186" i="33"/>
  <c r="U186" i="33"/>
  <c r="AE186" i="33"/>
  <c r="AF157" i="33"/>
  <c r="V157" i="33"/>
  <c r="AA157" i="33"/>
  <c r="AF194" i="33"/>
  <c r="V194" i="33"/>
  <c r="AA194" i="33"/>
  <c r="AF153" i="33"/>
  <c r="V153" i="33"/>
  <c r="AA153" i="33"/>
  <c r="AE150" i="33"/>
  <c r="U150" i="33"/>
  <c r="Z150" i="33"/>
  <c r="AA171" i="33"/>
  <c r="AF171" i="33"/>
  <c r="V171" i="33"/>
  <c r="AE157" i="33"/>
  <c r="U157" i="33"/>
  <c r="Z157" i="33"/>
  <c r="W185" i="33"/>
  <c r="AG185" i="33"/>
  <c r="AB185" i="33"/>
  <c r="Z167" i="33"/>
  <c r="AE167" i="33"/>
  <c r="U167" i="33"/>
  <c r="AE148" i="33"/>
  <c r="U148" i="33"/>
  <c r="Z148" i="33"/>
  <c r="AF176" i="33"/>
  <c r="V176" i="33"/>
  <c r="AA176" i="33"/>
  <c r="AE149" i="33"/>
  <c r="U149" i="33"/>
  <c r="Z149" i="33"/>
  <c r="AG245" i="33"/>
  <c r="W245" i="33"/>
  <c r="AB245" i="33"/>
  <c r="W148" i="33"/>
  <c r="AG148" i="33"/>
  <c r="AB148" i="33"/>
  <c r="AE251" i="33"/>
  <c r="U251" i="33"/>
  <c r="Z251" i="33"/>
  <c r="AG188" i="33"/>
  <c r="AB188" i="33"/>
  <c r="W188" i="33"/>
  <c r="AF179" i="33"/>
  <c r="V179" i="33"/>
  <c r="AA179" i="33"/>
  <c r="AD179" i="33"/>
  <c r="T179" i="33"/>
  <c r="Y179" i="33"/>
  <c r="AE153" i="33"/>
  <c r="U153" i="33"/>
  <c r="Z153" i="33"/>
  <c r="AD163" i="33"/>
  <c r="T163" i="33"/>
  <c r="Y163" i="33"/>
  <c r="AD197" i="33"/>
  <c r="T197" i="33"/>
  <c r="Y197" i="33"/>
  <c r="AE159" i="33"/>
  <c r="U159" i="33"/>
  <c r="Z159" i="33"/>
  <c r="AA167" i="33"/>
  <c r="AF167" i="33"/>
  <c r="V167" i="33"/>
  <c r="AD189" i="33"/>
  <c r="T189" i="33"/>
  <c r="Y189" i="33"/>
  <c r="AA166" i="33"/>
  <c r="AF166" i="33"/>
  <c r="V166" i="33"/>
  <c r="AD182" i="33"/>
  <c r="T182" i="33"/>
  <c r="Y182" i="33"/>
  <c r="AA148" i="33"/>
  <c r="AF148" i="33"/>
  <c r="V148" i="33"/>
  <c r="AE160" i="33"/>
  <c r="U160" i="33"/>
  <c r="Z160" i="33"/>
  <c r="Z194" i="33"/>
  <c r="U194" i="33"/>
  <c r="AE194" i="33"/>
  <c r="AE196" i="33"/>
  <c r="U196" i="33"/>
  <c r="Z196" i="33"/>
  <c r="Z213" i="33"/>
  <c r="AE213" i="33"/>
  <c r="U213" i="33"/>
  <c r="AD184" i="33"/>
  <c r="T184" i="33"/>
  <c r="Y184" i="33"/>
  <c r="Y165" i="33"/>
  <c r="T165" i="33"/>
  <c r="AD165" i="33"/>
  <c r="Z183" i="33"/>
  <c r="U183" i="33"/>
  <c r="AE183" i="33"/>
  <c r="W152" i="33"/>
  <c r="AB152" i="33"/>
  <c r="AG152" i="33"/>
  <c r="T164" i="33"/>
  <c r="Y164" i="33"/>
  <c r="AF163" i="33"/>
  <c r="V163" i="33"/>
  <c r="AA163" i="33"/>
  <c r="AD170" i="33"/>
  <c r="T170" i="33"/>
  <c r="Y170" i="33"/>
  <c r="W164" i="33"/>
  <c r="AB164" i="33"/>
  <c r="AD171" i="33"/>
  <c r="T171" i="33"/>
  <c r="Y171" i="33"/>
  <c r="AF159" i="33"/>
  <c r="V159" i="33"/>
  <c r="AA159" i="33"/>
  <c r="AF189" i="33"/>
  <c r="V189" i="33"/>
  <c r="AA189" i="33"/>
  <c r="AE198" i="33"/>
  <c r="U198" i="33"/>
  <c r="Z198" i="33"/>
  <c r="AD155" i="33"/>
  <c r="T155" i="33"/>
  <c r="Y155" i="33"/>
  <c r="AF160" i="33"/>
  <c r="V160" i="33"/>
  <c r="AA160" i="33"/>
  <c r="AF185" i="33"/>
  <c r="V185" i="33"/>
  <c r="AA185" i="33"/>
  <c r="Z190" i="33"/>
  <c r="U190" i="33"/>
  <c r="AE190" i="33"/>
  <c r="AF181" i="33"/>
  <c r="V181" i="33"/>
  <c r="AA181" i="33"/>
  <c r="AF199" i="33"/>
  <c r="V199" i="33"/>
  <c r="AA199" i="33"/>
  <c r="W183" i="33"/>
  <c r="AG183" i="33"/>
  <c r="AB183" i="33"/>
  <c r="AF155" i="33"/>
  <c r="V155" i="33"/>
  <c r="AA155" i="33"/>
  <c r="AE252" i="33"/>
  <c r="U252" i="33"/>
  <c r="Z252" i="33"/>
  <c r="Z195" i="33"/>
  <c r="AE195" i="33"/>
  <c r="U195" i="33"/>
  <c r="AE176" i="33"/>
  <c r="U176" i="33"/>
  <c r="Z176" i="33"/>
  <c r="AD152" i="33"/>
  <c r="T152" i="33"/>
  <c r="Y152" i="33"/>
  <c r="Y166" i="33"/>
  <c r="AD166" i="33"/>
  <c r="T166" i="33"/>
  <c r="W218" i="33"/>
  <c r="AG218" i="33"/>
  <c r="AB218" i="33"/>
  <c r="AE156" i="33"/>
  <c r="U156" i="33"/>
  <c r="Z156" i="33"/>
  <c r="Z224" i="33"/>
  <c r="AE224" i="33"/>
  <c r="U224" i="33"/>
  <c r="AB165" i="33"/>
  <c r="W165" i="33"/>
  <c r="AG165" i="33"/>
  <c r="AD186" i="33"/>
  <c r="T186" i="33"/>
  <c r="Y186" i="33"/>
  <c r="AD193" i="33"/>
  <c r="T193" i="33"/>
  <c r="Y193" i="33"/>
  <c r="AG180" i="33"/>
  <c r="AB180" i="33"/>
  <c r="W180" i="33"/>
  <c r="AF191" i="33"/>
  <c r="V191" i="33"/>
  <c r="AA191" i="33"/>
  <c r="AD198" i="33"/>
  <c r="T198" i="33"/>
  <c r="Y198" i="33"/>
  <c r="AG192" i="33"/>
  <c r="AB192" i="33"/>
  <c r="W192" i="33"/>
  <c r="AD185" i="33"/>
  <c r="T185" i="33"/>
  <c r="Y185" i="33"/>
  <c r="AE154" i="33"/>
  <c r="U154" i="33"/>
  <c r="Z154" i="33"/>
  <c r="AD199" i="33"/>
  <c r="T199" i="33"/>
  <c r="Y199" i="33"/>
  <c r="Z181" i="33"/>
  <c r="U181" i="33"/>
  <c r="AE181" i="33"/>
  <c r="AF187" i="33"/>
  <c r="V187" i="33"/>
  <c r="AA187" i="33"/>
  <c r="Z187" i="33"/>
  <c r="AE187" i="33"/>
  <c r="U187" i="33"/>
  <c r="AG159" i="33"/>
  <c r="W159" i="33"/>
  <c r="AB159" i="33"/>
  <c r="Z179" i="33"/>
  <c r="U179" i="33"/>
  <c r="AE179" i="33"/>
  <c r="AD183" i="33"/>
  <c r="T183" i="33"/>
  <c r="Y183" i="33"/>
  <c r="AF188" i="33"/>
  <c r="V188" i="33"/>
  <c r="AA188" i="33"/>
  <c r="AE247" i="33"/>
  <c r="U247" i="33"/>
  <c r="Z247" i="33"/>
  <c r="AD160" i="33"/>
  <c r="T160" i="33"/>
  <c r="Y160" i="33"/>
  <c r="AF249" i="33"/>
  <c r="V249" i="33"/>
  <c r="AA249" i="33"/>
  <c r="AF183" i="33"/>
  <c r="V183" i="33"/>
  <c r="AA183" i="33"/>
  <c r="Z225" i="33"/>
  <c r="AE225" i="33"/>
  <c r="U225" i="33"/>
  <c r="W194" i="33"/>
  <c r="AG194" i="33"/>
  <c r="AB194" i="33"/>
  <c r="AD194" i="33"/>
  <c r="T194" i="33"/>
  <c r="Y194" i="33"/>
  <c r="AG153" i="33"/>
  <c r="W153" i="33"/>
  <c r="AB153" i="33"/>
  <c r="AE241" i="33"/>
  <c r="U241" i="33"/>
  <c r="Z241" i="33"/>
  <c r="Y167" i="33"/>
  <c r="T167" i="33"/>
  <c r="AD167" i="33"/>
  <c r="AG154" i="33"/>
  <c r="W154" i="33"/>
  <c r="AB154" i="33"/>
  <c r="Z188" i="33"/>
  <c r="AE188" i="33"/>
  <c r="U188" i="33"/>
  <c r="V164" i="33"/>
  <c r="AA164" i="33"/>
  <c r="AA169" i="33"/>
  <c r="AF169" i="33"/>
  <c r="V169" i="33"/>
  <c r="AD162" i="33"/>
  <c r="T162" i="33"/>
  <c r="Y162" i="33"/>
  <c r="AG158" i="33"/>
  <c r="W158" i="33"/>
  <c r="AB158" i="33"/>
  <c r="AB199" i="33"/>
  <c r="AG199" i="33"/>
  <c r="W199" i="33"/>
  <c r="W214" i="33"/>
  <c r="AG214" i="33"/>
  <c r="AB214" i="33"/>
  <c r="AE151" i="33"/>
  <c r="U151" i="33"/>
  <c r="Z151" i="33"/>
  <c r="AG193" i="33"/>
  <c r="AB193" i="33"/>
  <c r="W193" i="33"/>
  <c r="W149" i="33"/>
  <c r="AG149" i="33"/>
  <c r="AB149" i="33"/>
  <c r="AD226" i="33"/>
  <c r="T226" i="33"/>
  <c r="Y226" i="33"/>
  <c r="U164" i="33"/>
  <c r="Z164" i="33"/>
  <c r="AG161" i="33"/>
  <c r="W161" i="33"/>
  <c r="AB161" i="33"/>
  <c r="AD210" i="33"/>
  <c r="T210" i="33"/>
  <c r="Y210" i="33"/>
  <c r="Z191" i="33"/>
  <c r="AE191" i="33"/>
  <c r="U191" i="33"/>
  <c r="AD178" i="33"/>
  <c r="T178" i="33"/>
  <c r="Y178" i="33"/>
  <c r="AE237" i="33"/>
  <c r="U237" i="33"/>
  <c r="Z237" i="33"/>
  <c r="AD190" i="33"/>
  <c r="T190" i="33"/>
  <c r="Y190" i="33"/>
  <c r="W186" i="33"/>
  <c r="AG186" i="33"/>
  <c r="AB186" i="33"/>
  <c r="AD222" i="33"/>
  <c r="T222" i="33"/>
  <c r="Y222" i="33"/>
  <c r="Z220" i="33"/>
  <c r="AE220" i="33"/>
  <c r="U220" i="33"/>
  <c r="AA222" i="33"/>
  <c r="V222" i="33"/>
  <c r="AF222" i="33"/>
  <c r="AE161" i="33"/>
  <c r="U161" i="33"/>
  <c r="Z161" i="33"/>
  <c r="AA165" i="33"/>
  <c r="AF165" i="33"/>
  <c r="V165" i="33"/>
  <c r="AB166" i="33"/>
  <c r="W166" i="33"/>
  <c r="AG166" i="33"/>
  <c r="AG163" i="33"/>
  <c r="W163" i="33"/>
  <c r="AB163" i="33"/>
  <c r="W181" i="33"/>
  <c r="AG181" i="33"/>
  <c r="AB181" i="33"/>
  <c r="Z177" i="33"/>
  <c r="U177" i="33"/>
  <c r="AE177" i="33"/>
  <c r="Z214" i="33"/>
  <c r="AE214" i="33"/>
  <c r="U214" i="33"/>
  <c r="AD153" i="33"/>
  <c r="T153" i="33"/>
  <c r="Y153" i="33"/>
  <c r="AD195" i="33"/>
  <c r="T195" i="33"/>
  <c r="Y195" i="33"/>
  <c r="AG156" i="33"/>
  <c r="W156" i="33"/>
  <c r="AB156" i="33"/>
  <c r="AF192" i="33"/>
  <c r="V192" i="33"/>
  <c r="AA192" i="33"/>
  <c r="AF197" i="33"/>
  <c r="V197" i="33"/>
  <c r="AA197" i="33"/>
  <c r="Z165" i="33"/>
  <c r="AE165" i="33"/>
  <c r="U165" i="33"/>
  <c r="AB196" i="33"/>
  <c r="W196" i="33"/>
  <c r="AG196" i="33"/>
  <c r="AE155" i="33"/>
  <c r="U155" i="33"/>
  <c r="Z155" i="33"/>
  <c r="AG241" i="33"/>
  <c r="W241" i="33"/>
  <c r="AB241" i="33"/>
  <c r="AE240" i="33"/>
  <c r="U240" i="33"/>
  <c r="Z240" i="33"/>
  <c r="AE163" i="33"/>
  <c r="U163" i="33"/>
  <c r="Z163" i="33"/>
  <c r="AE250" i="33"/>
  <c r="U250" i="33"/>
  <c r="Z250" i="33"/>
  <c r="U180" i="33"/>
  <c r="AE180" i="33"/>
  <c r="Z180" i="33"/>
  <c r="AB187" i="33"/>
  <c r="W187" i="33"/>
  <c r="AG187" i="33"/>
  <c r="AG232" i="33"/>
  <c r="W232" i="33"/>
  <c r="AB232" i="33"/>
  <c r="Z221" i="33"/>
  <c r="AE221" i="33"/>
  <c r="U221" i="33"/>
  <c r="AF184" i="33"/>
  <c r="V184" i="33"/>
  <c r="AA184" i="33"/>
  <c r="AG157" i="33"/>
  <c r="W157" i="33"/>
  <c r="AB157" i="33"/>
  <c r="AB191" i="33"/>
  <c r="W191" i="33"/>
  <c r="AG191" i="33"/>
  <c r="AF198" i="33"/>
  <c r="V198" i="33"/>
  <c r="AA198" i="33"/>
  <c r="AD191" i="33"/>
  <c r="T191" i="33"/>
  <c r="Y191" i="33"/>
  <c r="AG162" i="33"/>
  <c r="W162" i="33"/>
  <c r="AB162" i="33"/>
  <c r="W177" i="33"/>
  <c r="AG177" i="33"/>
  <c r="AB177" i="33"/>
  <c r="Y253" i="33"/>
  <c r="AD253" i="33"/>
  <c r="T253" i="33"/>
  <c r="AD192" i="33"/>
  <c r="T192" i="33"/>
  <c r="Y192" i="33"/>
  <c r="AG189" i="33"/>
  <c r="AB189" i="33"/>
  <c r="W189" i="33"/>
  <c r="Y237" i="33"/>
  <c r="AD237" i="33"/>
  <c r="T237" i="33"/>
  <c r="AD151" i="33"/>
  <c r="T151" i="33"/>
  <c r="Y151" i="33"/>
  <c r="AF241" i="33"/>
  <c r="V241" i="33"/>
  <c r="AA241" i="33"/>
  <c r="Z169" i="33"/>
  <c r="AE169" i="33"/>
  <c r="U169" i="33"/>
  <c r="AG204" i="33"/>
  <c r="W204" i="33"/>
  <c r="AB204" i="33"/>
  <c r="Z210" i="33"/>
  <c r="AE210" i="33"/>
  <c r="U210" i="33"/>
  <c r="AE152" i="33"/>
  <c r="U152" i="33"/>
  <c r="Z152" i="33"/>
  <c r="AF158" i="33"/>
  <c r="V158" i="33"/>
  <c r="AA158" i="33"/>
  <c r="AE158" i="33"/>
  <c r="U158" i="33"/>
  <c r="Z158" i="33"/>
  <c r="AE162" i="33"/>
  <c r="U162" i="33"/>
  <c r="Z162" i="33"/>
  <c r="U178" i="33"/>
  <c r="AE178" i="33"/>
  <c r="Z178" i="33"/>
  <c r="AD213" i="33"/>
  <c r="T213" i="33"/>
  <c r="Y213" i="33"/>
  <c r="Y249" i="33"/>
  <c r="AD249" i="33"/>
  <c r="T249" i="33"/>
  <c r="AD154" i="33"/>
  <c r="T154" i="33"/>
  <c r="Y154" i="33"/>
  <c r="AF193" i="33"/>
  <c r="V193" i="33"/>
  <c r="AA193" i="33"/>
  <c r="AD180" i="33"/>
  <c r="T180" i="33"/>
  <c r="Y180" i="33"/>
  <c r="AB167" i="33"/>
  <c r="W167" i="33"/>
  <c r="AG167" i="33"/>
  <c r="AD149" i="33"/>
  <c r="T149" i="33"/>
  <c r="Y149" i="33"/>
  <c r="AB170" i="33"/>
  <c r="AG170" i="33"/>
  <c r="W170" i="33"/>
  <c r="AG176" i="33"/>
  <c r="W176" i="33"/>
  <c r="AB176" i="33"/>
  <c r="U184" i="33"/>
  <c r="AE184" i="33"/>
  <c r="Z184" i="33"/>
  <c r="AG184" i="33"/>
  <c r="AB184" i="33"/>
  <c r="W184" i="33"/>
  <c r="Z193" i="33"/>
  <c r="AE193" i="33"/>
  <c r="U193" i="33"/>
  <c r="P191" i="32"/>
  <c r="AL85" i="32"/>
  <c r="AG85" i="32"/>
  <c r="O249" i="32"/>
  <c r="R215" i="32"/>
  <c r="O222" i="32"/>
  <c r="R242" i="32"/>
  <c r="AG242" i="32" s="1"/>
  <c r="AA82" i="32"/>
  <c r="AI92" i="32"/>
  <c r="Y92" i="32"/>
  <c r="AE231" i="15"/>
  <c r="AE248" i="15"/>
  <c r="AE251" i="15"/>
  <c r="AD231" i="15"/>
  <c r="AD239" i="15"/>
  <c r="AD248" i="15"/>
  <c r="AD251" i="15"/>
  <c r="AG235" i="15"/>
  <c r="AG243" i="15"/>
  <c r="AG247" i="15"/>
  <c r="AF235" i="15"/>
  <c r="AF243" i="15"/>
  <c r="AE235" i="15"/>
  <c r="AE243" i="15"/>
  <c r="AD235" i="15"/>
  <c r="AD243" i="15"/>
  <c r="AG231" i="15"/>
  <c r="AG239" i="15"/>
  <c r="AG248" i="15"/>
  <c r="AD224" i="15"/>
  <c r="AD216" i="15"/>
  <c r="AD204" i="15"/>
  <c r="AF220" i="15"/>
  <c r="AF208" i="15"/>
  <c r="AG220" i="15"/>
  <c r="AE220" i="15"/>
  <c r="AD220" i="15"/>
  <c r="AG224" i="15"/>
  <c r="AG216" i="15"/>
  <c r="AG204" i="15"/>
  <c r="AF224" i="15"/>
  <c r="AF216" i="15"/>
  <c r="AD152" i="15"/>
  <c r="AF152" i="15"/>
  <c r="AD156" i="15"/>
  <c r="AE156" i="15"/>
  <c r="AE152" i="15"/>
  <c r="AD116" i="15"/>
  <c r="AD120" i="15"/>
  <c r="AL94" i="15"/>
  <c r="AL74" i="15"/>
  <c r="AL90" i="15"/>
  <c r="AG86" i="15"/>
  <c r="AG90" i="15"/>
  <c r="AF86" i="15"/>
  <c r="AK74" i="15"/>
  <c r="AF74" i="15"/>
  <c r="AF90" i="15"/>
  <c r="AE78" i="15"/>
  <c r="AJ74" i="15"/>
  <c r="AJ86" i="15"/>
  <c r="AJ94" i="15"/>
  <c r="AI91" i="15"/>
  <c r="AI117" i="15"/>
  <c r="AI90" i="15"/>
  <c r="AI120" i="15"/>
  <c r="AD86" i="15"/>
  <c r="AD78" i="15"/>
  <c r="AI87" i="15"/>
  <c r="AI121" i="15"/>
  <c r="AD90" i="15"/>
  <c r="AI86" i="15"/>
  <c r="AI124" i="15"/>
  <c r="AI82" i="15"/>
  <c r="AI109" i="15"/>
  <c r="AI125" i="15"/>
  <c r="AI74" i="15"/>
  <c r="AI79" i="15"/>
  <c r="AI112" i="15"/>
  <c r="AI128" i="15"/>
  <c r="AD94" i="15"/>
  <c r="AI95" i="15"/>
  <c r="AI78" i="15"/>
  <c r="AI113" i="15"/>
  <c r="AJ81" i="32"/>
  <c r="AJ94" i="32"/>
  <c r="AJ123" i="32"/>
  <c r="AJ78" i="32"/>
  <c r="AJ76" i="32"/>
  <c r="AK87" i="32"/>
  <c r="AJ74" i="32"/>
  <c r="AJ93" i="32"/>
  <c r="AJ95" i="32"/>
  <c r="AJ79" i="32"/>
  <c r="AJ75" i="32"/>
  <c r="AJ124" i="32"/>
  <c r="AJ91" i="32"/>
  <c r="AJ77" i="32"/>
  <c r="O237" i="32"/>
  <c r="AD237" i="32" s="1"/>
  <c r="Q206" i="32"/>
  <c r="AA206" i="32" s="1"/>
  <c r="AF82" i="32"/>
  <c r="P207" i="32"/>
  <c r="AE207" i="32" s="1"/>
  <c r="O210" i="32"/>
  <c r="Y210" i="32" s="1"/>
  <c r="Q233" i="32"/>
  <c r="V233" i="32" s="1"/>
  <c r="V82" i="32"/>
  <c r="Q212" i="32"/>
  <c r="AA212" i="32" s="1"/>
  <c r="AE77" i="32"/>
  <c r="T94" i="32"/>
  <c r="AD80" i="32"/>
  <c r="W77" i="32"/>
  <c r="U77" i="32"/>
  <c r="AI94" i="32"/>
  <c r="T80" i="32"/>
  <c r="AG77" i="32"/>
  <c r="V76" i="32"/>
  <c r="O251" i="32"/>
  <c r="AD251" i="32" s="1"/>
  <c r="AI80" i="32"/>
  <c r="R207" i="32"/>
  <c r="AG207" i="32" s="1"/>
  <c r="AF76" i="32"/>
  <c r="O241" i="32"/>
  <c r="AD241" i="32" s="1"/>
  <c r="O224" i="32"/>
  <c r="AD224" i="32" s="1"/>
  <c r="W85" i="32"/>
  <c r="AE81" i="32"/>
  <c r="O238" i="32"/>
  <c r="Y238" i="32" s="1"/>
  <c r="O211" i="32"/>
  <c r="AI97" i="32"/>
  <c r="O227" i="32"/>
  <c r="T227" i="32" s="1"/>
  <c r="Y81" i="32"/>
  <c r="T81" i="32"/>
  <c r="AD81" i="32"/>
  <c r="P189" i="32"/>
  <c r="P161" i="32"/>
  <c r="AE121" i="32"/>
  <c r="AJ121" i="32"/>
  <c r="Z121" i="32"/>
  <c r="U121" i="32"/>
  <c r="AA197" i="32"/>
  <c r="V197" i="32"/>
  <c r="AF197" i="32"/>
  <c r="AE223" i="32"/>
  <c r="U223" i="32"/>
  <c r="Z223" i="32"/>
  <c r="O194" i="32"/>
  <c r="O166" i="32"/>
  <c r="AD126" i="32"/>
  <c r="T126" i="32"/>
  <c r="AI126" i="32"/>
  <c r="Y126" i="32"/>
  <c r="P245" i="32"/>
  <c r="P218" i="32"/>
  <c r="AE88" i="32"/>
  <c r="U88" i="32"/>
  <c r="AJ88" i="32"/>
  <c r="Z88" i="32"/>
  <c r="Q251" i="32"/>
  <c r="Q224" i="32"/>
  <c r="AK94" i="32"/>
  <c r="AA94" i="32"/>
  <c r="V94" i="32"/>
  <c r="AF94" i="32"/>
  <c r="AB123" i="32"/>
  <c r="R191" i="32"/>
  <c r="W123" i="32"/>
  <c r="R163" i="32"/>
  <c r="AL123" i="32"/>
  <c r="AG123" i="32"/>
  <c r="R254" i="32"/>
  <c r="R227" i="32"/>
  <c r="AG97" i="32"/>
  <c r="W97" i="32"/>
  <c r="AL97" i="32"/>
  <c r="AB97" i="32"/>
  <c r="Z252" i="32"/>
  <c r="AE252" i="32"/>
  <c r="U252" i="32"/>
  <c r="AA221" i="32"/>
  <c r="V221" i="32"/>
  <c r="AF221" i="32"/>
  <c r="AA247" i="32"/>
  <c r="AF247" i="32"/>
  <c r="V247" i="32"/>
  <c r="Y224" i="32"/>
  <c r="R148" i="32"/>
  <c r="AL108" i="32"/>
  <c r="AB108" i="32"/>
  <c r="AG108" i="32"/>
  <c r="W108" i="32"/>
  <c r="R176" i="32"/>
  <c r="P169" i="32"/>
  <c r="P197" i="32"/>
  <c r="Z129" i="32"/>
  <c r="AJ129" i="32"/>
  <c r="U129" i="32"/>
  <c r="AE129" i="32"/>
  <c r="Z208" i="32"/>
  <c r="AE208" i="32"/>
  <c r="U208" i="32"/>
  <c r="O176" i="32"/>
  <c r="O148" i="32"/>
  <c r="AD108" i="32"/>
  <c r="Y108" i="32"/>
  <c r="T108" i="32"/>
  <c r="AI108" i="32"/>
  <c r="Q235" i="32"/>
  <c r="Q208" i="32"/>
  <c r="AF78" i="32"/>
  <c r="V78" i="32"/>
  <c r="AK78" i="32"/>
  <c r="AA78" i="32"/>
  <c r="AK90" i="32"/>
  <c r="AK83" i="32"/>
  <c r="AL113" i="32"/>
  <c r="AB113" i="32"/>
  <c r="R181" i="32"/>
  <c r="AG113" i="32"/>
  <c r="W113" i="32"/>
  <c r="R153" i="32"/>
  <c r="P254" i="32"/>
  <c r="P227" i="32"/>
  <c r="AJ97" i="32"/>
  <c r="U97" i="32"/>
  <c r="AE97" i="32"/>
  <c r="Z97" i="32"/>
  <c r="Q180" i="32"/>
  <c r="AK112" i="32"/>
  <c r="AA112" i="32"/>
  <c r="Q152" i="32"/>
  <c r="V112" i="32"/>
  <c r="AF112" i="32"/>
  <c r="O179" i="32"/>
  <c r="O151" i="32"/>
  <c r="AI111" i="32"/>
  <c r="AD111" i="32"/>
  <c r="Y111" i="32"/>
  <c r="T111" i="32"/>
  <c r="AE224" i="32"/>
  <c r="U224" i="32"/>
  <c r="Z224" i="32"/>
  <c r="AE219" i="32"/>
  <c r="U219" i="32"/>
  <c r="Z219" i="32"/>
  <c r="R237" i="32"/>
  <c r="R210" i="32"/>
  <c r="AB80" i="32"/>
  <c r="AL80" i="32"/>
  <c r="AG80" i="32"/>
  <c r="W80" i="32"/>
  <c r="AA242" i="32"/>
  <c r="AF242" i="32"/>
  <c r="V242" i="32"/>
  <c r="AG253" i="32"/>
  <c r="W253" i="32"/>
  <c r="AB253" i="32"/>
  <c r="AG234" i="32"/>
  <c r="W234" i="32"/>
  <c r="AB234" i="32"/>
  <c r="AF212" i="32"/>
  <c r="Q195" i="32"/>
  <c r="AF127" i="32"/>
  <c r="Q167" i="32"/>
  <c r="AK127" i="32"/>
  <c r="V127" i="32"/>
  <c r="AA127" i="32"/>
  <c r="R192" i="32"/>
  <c r="AG124" i="32"/>
  <c r="R164" i="32"/>
  <c r="AB124" i="32"/>
  <c r="AL124" i="32"/>
  <c r="W124" i="32"/>
  <c r="P244" i="32"/>
  <c r="P217" i="32"/>
  <c r="AJ87" i="32"/>
  <c r="Z87" i="32"/>
  <c r="AE87" i="32"/>
  <c r="U87" i="32"/>
  <c r="P182" i="32"/>
  <c r="P154" i="32"/>
  <c r="AJ114" i="32"/>
  <c r="Z114" i="32"/>
  <c r="AE114" i="32"/>
  <c r="U114" i="32"/>
  <c r="O190" i="32"/>
  <c r="AD122" i="32"/>
  <c r="T122" i="32"/>
  <c r="O162" i="32"/>
  <c r="AI122" i="32"/>
  <c r="Y122" i="32"/>
  <c r="Z250" i="32"/>
  <c r="AE250" i="32"/>
  <c r="U250" i="32"/>
  <c r="AA194" i="32"/>
  <c r="V194" i="32"/>
  <c r="AF194" i="32"/>
  <c r="Q249" i="32"/>
  <c r="Q222" i="32"/>
  <c r="AF92" i="32"/>
  <c r="V92" i="32"/>
  <c r="AA92" i="32"/>
  <c r="AK92" i="32"/>
  <c r="O189" i="32"/>
  <c r="AD121" i="32"/>
  <c r="T121" i="32"/>
  <c r="O161" i="32"/>
  <c r="Y121" i="32"/>
  <c r="AI121" i="32"/>
  <c r="Q252" i="32"/>
  <c r="Q225" i="32"/>
  <c r="AK95" i="32"/>
  <c r="AA95" i="32"/>
  <c r="V95" i="32"/>
  <c r="AF95" i="32"/>
  <c r="O219" i="32"/>
  <c r="O246" i="32"/>
  <c r="AI89" i="32"/>
  <c r="Y89" i="32"/>
  <c r="AD89" i="32"/>
  <c r="T89" i="32"/>
  <c r="O181" i="32"/>
  <c r="O153" i="32"/>
  <c r="AD113" i="32"/>
  <c r="Y113" i="32"/>
  <c r="AI113" i="32"/>
  <c r="T113" i="32"/>
  <c r="Q184" i="32"/>
  <c r="Q156" i="32"/>
  <c r="AK116" i="32"/>
  <c r="AA116" i="32"/>
  <c r="AF116" i="32"/>
  <c r="V116" i="32"/>
  <c r="P237" i="32"/>
  <c r="P210" i="32"/>
  <c r="AE80" i="32"/>
  <c r="U80" i="32"/>
  <c r="Z80" i="32"/>
  <c r="AJ80" i="32"/>
  <c r="AA248" i="32"/>
  <c r="AF248" i="32"/>
  <c r="V248" i="32"/>
  <c r="R243" i="32"/>
  <c r="R216" i="32"/>
  <c r="AL86" i="32"/>
  <c r="AB86" i="32"/>
  <c r="W86" i="32"/>
  <c r="AG86" i="32"/>
  <c r="P253" i="32"/>
  <c r="P226" i="32"/>
  <c r="Z96" i="32"/>
  <c r="AJ96" i="32"/>
  <c r="U96" i="32"/>
  <c r="AE96" i="32"/>
  <c r="O215" i="32"/>
  <c r="O242" i="32"/>
  <c r="T85" i="32"/>
  <c r="AD85" i="32"/>
  <c r="AI85" i="32"/>
  <c r="Y85" i="32"/>
  <c r="AL109" i="32"/>
  <c r="AB109" i="32"/>
  <c r="R177" i="32"/>
  <c r="R149" i="32"/>
  <c r="AG109" i="32"/>
  <c r="W109" i="32"/>
  <c r="P168" i="32"/>
  <c r="U168" i="32" s="1"/>
  <c r="P196" i="32"/>
  <c r="U128" i="32"/>
  <c r="AE128" i="32"/>
  <c r="Z128" i="32"/>
  <c r="AJ128" i="32"/>
  <c r="Z235" i="32"/>
  <c r="U235" i="32"/>
  <c r="AE235" i="32"/>
  <c r="P241" i="32"/>
  <c r="P214" i="32"/>
  <c r="AE84" i="32"/>
  <c r="U84" i="32"/>
  <c r="Z84" i="32"/>
  <c r="AJ84" i="32"/>
  <c r="Q234" i="32"/>
  <c r="Q207" i="32"/>
  <c r="AF77" i="32"/>
  <c r="V77" i="32"/>
  <c r="AK77" i="32"/>
  <c r="AA77" i="32"/>
  <c r="R154" i="32"/>
  <c r="AL114" i="32"/>
  <c r="AB114" i="32"/>
  <c r="AG114" i="32"/>
  <c r="W114" i="32"/>
  <c r="R182" i="32"/>
  <c r="Q191" i="32"/>
  <c r="AK123" i="32"/>
  <c r="Q163" i="32"/>
  <c r="AA123" i="32"/>
  <c r="V123" i="32"/>
  <c r="AF123" i="32"/>
  <c r="AF216" i="32"/>
  <c r="AA216" i="32"/>
  <c r="V216" i="32"/>
  <c r="AK113" i="32"/>
  <c r="AA113" i="32"/>
  <c r="Q181" i="32"/>
  <c r="Q153" i="32"/>
  <c r="V113" i="32"/>
  <c r="AF113" i="32"/>
  <c r="O232" i="32"/>
  <c r="O205" i="32"/>
  <c r="AD75" i="32"/>
  <c r="T75" i="32"/>
  <c r="AI75" i="32"/>
  <c r="Y75" i="32"/>
  <c r="Z251" i="32"/>
  <c r="U251" i="32"/>
  <c r="AE251" i="32"/>
  <c r="Z246" i="32"/>
  <c r="AE246" i="32"/>
  <c r="U246" i="32"/>
  <c r="R233" i="32"/>
  <c r="R206" i="32"/>
  <c r="AL76" i="32"/>
  <c r="AG76" i="32"/>
  <c r="W76" i="32"/>
  <c r="AB76" i="32"/>
  <c r="V210" i="32"/>
  <c r="AF210" i="32"/>
  <c r="AA210" i="32"/>
  <c r="T237" i="32"/>
  <c r="Y237" i="32"/>
  <c r="AK91" i="32"/>
  <c r="AA239" i="32"/>
  <c r="AF239" i="32"/>
  <c r="V239" i="32"/>
  <c r="O217" i="32"/>
  <c r="O244" i="32"/>
  <c r="AI87" i="32"/>
  <c r="Y87" i="32"/>
  <c r="T87" i="32"/>
  <c r="AD87" i="32"/>
  <c r="P165" i="32"/>
  <c r="P193" i="32"/>
  <c r="AJ125" i="32"/>
  <c r="U125" i="32"/>
  <c r="Z125" i="32"/>
  <c r="AE125" i="32"/>
  <c r="Q185" i="32"/>
  <c r="AK117" i="32"/>
  <c r="AA117" i="32"/>
  <c r="Q157" i="32"/>
  <c r="AF117" i="32"/>
  <c r="V117" i="32"/>
  <c r="AD252" i="32"/>
  <c r="T252" i="32"/>
  <c r="Y252" i="32"/>
  <c r="Q190" i="32"/>
  <c r="Q162" i="32"/>
  <c r="V122" i="32"/>
  <c r="AF122" i="32"/>
  <c r="AA122" i="32"/>
  <c r="AK122" i="32"/>
  <c r="W125" i="32"/>
  <c r="R193" i="32"/>
  <c r="AL125" i="32"/>
  <c r="R165" i="32"/>
  <c r="AG125" i="32"/>
  <c r="AB125" i="32"/>
  <c r="P184" i="32"/>
  <c r="P156" i="32"/>
  <c r="AJ116" i="32"/>
  <c r="Z116" i="32"/>
  <c r="AE116" i="32"/>
  <c r="U116" i="32"/>
  <c r="R170" i="32"/>
  <c r="AB130" i="32"/>
  <c r="R198" i="32"/>
  <c r="AL130" i="32"/>
  <c r="W130" i="32"/>
  <c r="AG130" i="32"/>
  <c r="AD163" i="32"/>
  <c r="T163" i="32"/>
  <c r="Y163" i="32"/>
  <c r="P166" i="32"/>
  <c r="P194" i="32"/>
  <c r="Z126" i="32"/>
  <c r="AJ126" i="32"/>
  <c r="AE126" i="32"/>
  <c r="U126" i="32"/>
  <c r="O188" i="32"/>
  <c r="O160" i="32"/>
  <c r="T120" i="32"/>
  <c r="AI120" i="32"/>
  <c r="AD120" i="32"/>
  <c r="Y120" i="32"/>
  <c r="O196" i="32"/>
  <c r="O168" i="32"/>
  <c r="T168" i="32" s="1"/>
  <c r="AD128" i="32"/>
  <c r="T128" i="32"/>
  <c r="AI128" i="32"/>
  <c r="Y128" i="32"/>
  <c r="R248" i="32"/>
  <c r="R221" i="32"/>
  <c r="AG91" i="32"/>
  <c r="W91" i="32"/>
  <c r="AL91" i="32"/>
  <c r="AB91" i="32"/>
  <c r="R185" i="32"/>
  <c r="AL117" i="32"/>
  <c r="AB117" i="32"/>
  <c r="R157" i="32"/>
  <c r="AG117" i="32"/>
  <c r="W117" i="32"/>
  <c r="O180" i="32"/>
  <c r="T112" i="32"/>
  <c r="AI112" i="32"/>
  <c r="AD112" i="32"/>
  <c r="Y112" i="32"/>
  <c r="O152" i="32"/>
  <c r="AA217" i="32"/>
  <c r="V217" i="32"/>
  <c r="AF217" i="32"/>
  <c r="Q186" i="32"/>
  <c r="Q158" i="32"/>
  <c r="AK118" i="32"/>
  <c r="AA118" i="32"/>
  <c r="V118" i="32"/>
  <c r="AF118" i="32"/>
  <c r="R246" i="32"/>
  <c r="R219" i="32"/>
  <c r="AL89" i="32"/>
  <c r="AB89" i="32"/>
  <c r="AG89" i="32"/>
  <c r="W89" i="32"/>
  <c r="P177" i="32"/>
  <c r="P149" i="32"/>
  <c r="AJ109" i="32"/>
  <c r="Z109" i="32"/>
  <c r="U109" i="32"/>
  <c r="AE109" i="32"/>
  <c r="Y225" i="32"/>
  <c r="T225" i="32"/>
  <c r="AD225" i="32"/>
  <c r="O187" i="32"/>
  <c r="O159" i="32"/>
  <c r="AI119" i="32"/>
  <c r="AD119" i="32"/>
  <c r="Y119" i="32"/>
  <c r="T119" i="32"/>
  <c r="R151" i="32"/>
  <c r="AL111" i="32"/>
  <c r="AB111" i="32"/>
  <c r="R179" i="32"/>
  <c r="AG111" i="32"/>
  <c r="W111" i="32"/>
  <c r="O223" i="32"/>
  <c r="O250" i="32"/>
  <c r="T93" i="32"/>
  <c r="AD93" i="32"/>
  <c r="Y93" i="32"/>
  <c r="AI93" i="32"/>
  <c r="Z234" i="32"/>
  <c r="AE234" i="32"/>
  <c r="U234" i="32"/>
  <c r="P240" i="32"/>
  <c r="P213" i="32"/>
  <c r="AJ83" i="32"/>
  <c r="Z83" i="32"/>
  <c r="U83" i="32"/>
  <c r="AE83" i="32"/>
  <c r="AK109" i="32"/>
  <c r="AA109" i="32"/>
  <c r="Q177" i="32"/>
  <c r="Q149" i="32"/>
  <c r="AF109" i="32"/>
  <c r="V109" i="32"/>
  <c r="AD158" i="32"/>
  <c r="T158" i="32"/>
  <c r="Y158" i="32"/>
  <c r="AE209" i="32"/>
  <c r="Z209" i="32"/>
  <c r="U209" i="32"/>
  <c r="Q188" i="32"/>
  <c r="Q160" i="32"/>
  <c r="AK120" i="32"/>
  <c r="AA120" i="32"/>
  <c r="V120" i="32"/>
  <c r="AF120" i="32"/>
  <c r="AK115" i="32"/>
  <c r="AA115" i="32"/>
  <c r="Q183" i="32"/>
  <c r="V115" i="32"/>
  <c r="Q155" i="32"/>
  <c r="AF115" i="32"/>
  <c r="AG225" i="32"/>
  <c r="W225" i="32"/>
  <c r="AB225" i="32"/>
  <c r="AG245" i="32"/>
  <c r="W245" i="32"/>
  <c r="AB245" i="32"/>
  <c r="Z206" i="32"/>
  <c r="AE206" i="32"/>
  <c r="U206" i="32"/>
  <c r="AG214" i="32"/>
  <c r="W214" i="32"/>
  <c r="AB214" i="32"/>
  <c r="AK84" i="32"/>
  <c r="AK76" i="32"/>
  <c r="Y214" i="32"/>
  <c r="AD214" i="32"/>
  <c r="T214" i="32"/>
  <c r="Q192" i="32"/>
  <c r="V124" i="32"/>
  <c r="AF124" i="32"/>
  <c r="Q164" i="32"/>
  <c r="AK124" i="32"/>
  <c r="AA124" i="32"/>
  <c r="R194" i="32"/>
  <c r="AL126" i="32"/>
  <c r="W126" i="32"/>
  <c r="R166" i="32"/>
  <c r="AB126" i="32"/>
  <c r="AG126" i="32"/>
  <c r="AE124" i="32"/>
  <c r="AD254" i="32"/>
  <c r="T254" i="32"/>
  <c r="Y254" i="32"/>
  <c r="P176" i="32"/>
  <c r="P148" i="32"/>
  <c r="AJ108" i="32"/>
  <c r="Z108" i="32"/>
  <c r="AE108" i="32"/>
  <c r="U108" i="32"/>
  <c r="P170" i="32"/>
  <c r="P198" i="32"/>
  <c r="Z130" i="32"/>
  <c r="AJ130" i="32"/>
  <c r="U130" i="32"/>
  <c r="AE130" i="32"/>
  <c r="Q176" i="32"/>
  <c r="Q148" i="32"/>
  <c r="AK108" i="32"/>
  <c r="AA108" i="32"/>
  <c r="AF108" i="32"/>
  <c r="V108" i="32"/>
  <c r="Q154" i="32"/>
  <c r="Q182" i="32"/>
  <c r="AK114" i="32"/>
  <c r="AA114" i="32"/>
  <c r="AF114" i="32"/>
  <c r="V114" i="32"/>
  <c r="Y241" i="32"/>
  <c r="AK125" i="32"/>
  <c r="R167" i="32"/>
  <c r="AB127" i="32"/>
  <c r="AG127" i="32"/>
  <c r="R195" i="32"/>
  <c r="W127" i="32"/>
  <c r="AL127" i="32"/>
  <c r="P185" i="32"/>
  <c r="P157" i="32"/>
  <c r="AJ117" i="32"/>
  <c r="Z117" i="32"/>
  <c r="U117" i="32"/>
  <c r="AE117" i="32"/>
  <c r="R249" i="32"/>
  <c r="R222" i="32"/>
  <c r="AG92" i="32"/>
  <c r="AB92" i="32"/>
  <c r="AL92" i="32"/>
  <c r="W92" i="32"/>
  <c r="R169" i="32"/>
  <c r="W129" i="32"/>
  <c r="R197" i="32"/>
  <c r="AL129" i="32"/>
  <c r="AB129" i="32"/>
  <c r="AG129" i="32"/>
  <c r="O199" i="32"/>
  <c r="O171" i="32"/>
  <c r="AD131" i="32"/>
  <c r="T131" i="32"/>
  <c r="Y131" i="32"/>
  <c r="AI131" i="32"/>
  <c r="R247" i="32"/>
  <c r="R220" i="32"/>
  <c r="AL90" i="32"/>
  <c r="AB90" i="32"/>
  <c r="AG90" i="32"/>
  <c r="W90" i="32"/>
  <c r="AF219" i="32"/>
  <c r="V219" i="32"/>
  <c r="AA219" i="32"/>
  <c r="R158" i="32"/>
  <c r="R186" i="32"/>
  <c r="AL118" i="32"/>
  <c r="AB118" i="32"/>
  <c r="AG118" i="32"/>
  <c r="W118" i="32"/>
  <c r="O182" i="32"/>
  <c r="O154" i="32"/>
  <c r="T114" i="32"/>
  <c r="AI114" i="32"/>
  <c r="AD114" i="32"/>
  <c r="Y114" i="32"/>
  <c r="AA244" i="32"/>
  <c r="AF244" i="32"/>
  <c r="V244" i="32"/>
  <c r="AK119" i="32"/>
  <c r="AA119" i="32"/>
  <c r="AF119" i="32"/>
  <c r="Q187" i="32"/>
  <c r="V119" i="32"/>
  <c r="Q159" i="32"/>
  <c r="AE211" i="32"/>
  <c r="U211" i="32"/>
  <c r="Z211" i="32"/>
  <c r="Y165" i="32"/>
  <c r="T165" i="32"/>
  <c r="AD165" i="32"/>
  <c r="AG223" i="32"/>
  <c r="W223" i="32"/>
  <c r="AB223" i="32"/>
  <c r="AA213" i="32"/>
  <c r="V213" i="32"/>
  <c r="AF213" i="32"/>
  <c r="P178" i="32"/>
  <c r="P150" i="32"/>
  <c r="AJ110" i="32"/>
  <c r="Z110" i="32"/>
  <c r="U110" i="32"/>
  <c r="AE110" i="32"/>
  <c r="R232" i="32"/>
  <c r="R205" i="32"/>
  <c r="AL75" i="32"/>
  <c r="AB75" i="32"/>
  <c r="AG75" i="32"/>
  <c r="W75" i="32"/>
  <c r="O220" i="32"/>
  <c r="O247" i="32"/>
  <c r="AI90" i="32"/>
  <c r="Y90" i="32"/>
  <c r="AD90" i="32"/>
  <c r="T90" i="32"/>
  <c r="P242" i="32"/>
  <c r="P215" i="32"/>
  <c r="AJ85" i="32"/>
  <c r="Z85" i="32"/>
  <c r="AE85" i="32"/>
  <c r="U85" i="32"/>
  <c r="Q150" i="32"/>
  <c r="Q178" i="32"/>
  <c r="AK110" i="32"/>
  <c r="AA110" i="32"/>
  <c r="V110" i="32"/>
  <c r="AF110" i="32"/>
  <c r="Z236" i="32"/>
  <c r="AE236" i="32"/>
  <c r="U236" i="32"/>
  <c r="Q189" i="32"/>
  <c r="Q161" i="32"/>
  <c r="AA121" i="32"/>
  <c r="AF121" i="32"/>
  <c r="V121" i="32"/>
  <c r="AK121" i="32"/>
  <c r="O213" i="32"/>
  <c r="O240" i="32"/>
  <c r="AI83" i="32"/>
  <c r="T83" i="32"/>
  <c r="AD83" i="32"/>
  <c r="Y83" i="32"/>
  <c r="O236" i="32"/>
  <c r="O209" i="32"/>
  <c r="AD79" i="32"/>
  <c r="T79" i="32"/>
  <c r="AI79" i="32"/>
  <c r="Y79" i="32"/>
  <c r="AG252" i="32"/>
  <c r="W252" i="32"/>
  <c r="AB252" i="32"/>
  <c r="AD243" i="32"/>
  <c r="T243" i="32"/>
  <c r="Y243" i="32"/>
  <c r="Z233" i="32"/>
  <c r="U233" i="32"/>
  <c r="AE233" i="32"/>
  <c r="AG241" i="32"/>
  <c r="W241" i="32"/>
  <c r="AB241" i="32"/>
  <c r="V206" i="32"/>
  <c r="AF206" i="32"/>
  <c r="P181" i="32"/>
  <c r="P153" i="32"/>
  <c r="AJ113" i="32"/>
  <c r="Z113" i="32"/>
  <c r="AE113" i="32"/>
  <c r="U113" i="32"/>
  <c r="Y211" i="32"/>
  <c r="T211" i="32"/>
  <c r="AD211" i="32"/>
  <c r="V169" i="32"/>
  <c r="AF169" i="32"/>
  <c r="AA169" i="32"/>
  <c r="Q254" i="32"/>
  <c r="Q227" i="32"/>
  <c r="AK97" i="32"/>
  <c r="AA97" i="32"/>
  <c r="V97" i="32"/>
  <c r="AF97" i="32"/>
  <c r="O183" i="32"/>
  <c r="O155" i="32"/>
  <c r="Y115" i="32"/>
  <c r="T115" i="32"/>
  <c r="AI115" i="32"/>
  <c r="AD115" i="32"/>
  <c r="R244" i="32"/>
  <c r="R217" i="32"/>
  <c r="AL87" i="32"/>
  <c r="AB87" i="32"/>
  <c r="AG87" i="32"/>
  <c r="W87" i="32"/>
  <c r="R150" i="32"/>
  <c r="AL110" i="32"/>
  <c r="AB110" i="32"/>
  <c r="AG110" i="32"/>
  <c r="W110" i="32"/>
  <c r="R178" i="32"/>
  <c r="P239" i="32"/>
  <c r="P212" i="32"/>
  <c r="AJ82" i="32"/>
  <c r="Z82" i="32"/>
  <c r="AE82" i="32"/>
  <c r="U82" i="32"/>
  <c r="AA243" i="32"/>
  <c r="AF243" i="32"/>
  <c r="V243" i="32"/>
  <c r="AG218" i="32"/>
  <c r="W218" i="32"/>
  <c r="AB218" i="32"/>
  <c r="Q196" i="32"/>
  <c r="Q168" i="32"/>
  <c r="V168" i="32" s="1"/>
  <c r="V128" i="32"/>
  <c r="AF128" i="32"/>
  <c r="AK128" i="32"/>
  <c r="AA128" i="32"/>
  <c r="O192" i="32"/>
  <c r="AD124" i="32"/>
  <c r="T124" i="32"/>
  <c r="O164" i="32"/>
  <c r="Y124" i="32"/>
  <c r="AI124" i="32"/>
  <c r="P247" i="32"/>
  <c r="P220" i="32"/>
  <c r="AJ90" i="32"/>
  <c r="Z90" i="32"/>
  <c r="AE90" i="32"/>
  <c r="U90" i="32"/>
  <c r="P158" i="32"/>
  <c r="P186" i="32"/>
  <c r="AJ118" i="32"/>
  <c r="Z118" i="32"/>
  <c r="U118" i="32"/>
  <c r="AE118" i="32"/>
  <c r="W128" i="32"/>
  <c r="R196" i="32"/>
  <c r="AG128" i="32"/>
  <c r="AB128" i="32"/>
  <c r="R168" i="32"/>
  <c r="W168" i="32" s="1"/>
  <c r="AL128" i="32"/>
  <c r="AA193" i="32"/>
  <c r="V193" i="32"/>
  <c r="AF193" i="32"/>
  <c r="O198" i="32"/>
  <c r="O170" i="32"/>
  <c r="AD130" i="32"/>
  <c r="T130" i="32"/>
  <c r="AI130" i="32"/>
  <c r="Y130" i="32"/>
  <c r="R162" i="32"/>
  <c r="R190" i="32"/>
  <c r="AL122" i="32"/>
  <c r="AG122" i="32"/>
  <c r="AB122" i="32"/>
  <c r="W122" i="32"/>
  <c r="AE192" i="32"/>
  <c r="U192" i="32"/>
  <c r="Z192" i="32"/>
  <c r="AA246" i="32"/>
  <c r="AF246" i="32"/>
  <c r="V246" i="32"/>
  <c r="R187" i="32"/>
  <c r="R159" i="32"/>
  <c r="AL119" i="32"/>
  <c r="AB119" i="32"/>
  <c r="AG119" i="32"/>
  <c r="W119" i="32"/>
  <c r="Z205" i="32"/>
  <c r="AE205" i="32"/>
  <c r="U205" i="32"/>
  <c r="Z238" i="32"/>
  <c r="AE238" i="32"/>
  <c r="U238" i="32"/>
  <c r="Y193" i="32"/>
  <c r="AD193" i="32"/>
  <c r="T193" i="32"/>
  <c r="AG250" i="32"/>
  <c r="W250" i="32"/>
  <c r="AB250" i="32"/>
  <c r="AA240" i="32"/>
  <c r="AF240" i="32"/>
  <c r="V240" i="32"/>
  <c r="P179" i="32"/>
  <c r="P151" i="32"/>
  <c r="AJ111" i="32"/>
  <c r="Z111" i="32"/>
  <c r="AE111" i="32"/>
  <c r="U111" i="32"/>
  <c r="AD253" i="32"/>
  <c r="T253" i="32"/>
  <c r="Y253" i="32"/>
  <c r="O212" i="32"/>
  <c r="O239" i="32"/>
  <c r="T82" i="32"/>
  <c r="AD82" i="32"/>
  <c r="AI82" i="32"/>
  <c r="Y82" i="32"/>
  <c r="R231" i="32"/>
  <c r="R204" i="32"/>
  <c r="W74" i="32"/>
  <c r="AL74" i="32"/>
  <c r="AB74" i="32"/>
  <c r="AG74" i="32"/>
  <c r="O221" i="32"/>
  <c r="O248" i="32"/>
  <c r="AI91" i="32"/>
  <c r="Y91" i="32"/>
  <c r="T91" i="32"/>
  <c r="AD91" i="32"/>
  <c r="R240" i="32"/>
  <c r="R213" i="32"/>
  <c r="W83" i="32"/>
  <c r="AG83" i="32"/>
  <c r="AB83" i="32"/>
  <c r="AL83" i="32"/>
  <c r="AK111" i="32"/>
  <c r="AA111" i="32"/>
  <c r="Q179" i="32"/>
  <c r="Q151" i="32"/>
  <c r="AF111" i="32"/>
  <c r="V111" i="32"/>
  <c r="Y186" i="32"/>
  <c r="AD186" i="32"/>
  <c r="T186" i="32"/>
  <c r="Q245" i="32"/>
  <c r="Q218" i="32"/>
  <c r="AK88" i="32"/>
  <c r="AA88" i="32"/>
  <c r="AF88" i="32"/>
  <c r="V88" i="32"/>
  <c r="O208" i="32"/>
  <c r="O235" i="32"/>
  <c r="AD78" i="32"/>
  <c r="T78" i="32"/>
  <c r="AI78" i="32"/>
  <c r="Y78" i="32"/>
  <c r="Y216" i="32"/>
  <c r="AD216" i="32"/>
  <c r="T216" i="32"/>
  <c r="AK85" i="32"/>
  <c r="AB209" i="32"/>
  <c r="AG209" i="32"/>
  <c r="W209" i="32"/>
  <c r="AD249" i="32"/>
  <c r="T249" i="32"/>
  <c r="Y249" i="32"/>
  <c r="AA233" i="32"/>
  <c r="P183" i="32"/>
  <c r="P155" i="32"/>
  <c r="AJ115" i="32"/>
  <c r="Z115" i="32"/>
  <c r="U115" i="32"/>
  <c r="AE115" i="32"/>
  <c r="R156" i="32"/>
  <c r="R184" i="32"/>
  <c r="AL116" i="32"/>
  <c r="AB116" i="32"/>
  <c r="AG116" i="32"/>
  <c r="W116" i="32"/>
  <c r="O157" i="32"/>
  <c r="O185" i="32"/>
  <c r="T117" i="32"/>
  <c r="AI117" i="32"/>
  <c r="Y117" i="32"/>
  <c r="AD117" i="32"/>
  <c r="R155" i="32"/>
  <c r="AL115" i="32"/>
  <c r="AB115" i="32"/>
  <c r="R183" i="32"/>
  <c r="AG115" i="32"/>
  <c r="W115" i="32"/>
  <c r="AK89" i="32"/>
  <c r="Q199" i="32"/>
  <c r="AF131" i="32"/>
  <c r="Q171" i="32"/>
  <c r="AK131" i="32"/>
  <c r="V131" i="32"/>
  <c r="AA131" i="32"/>
  <c r="P162" i="32"/>
  <c r="P190" i="32"/>
  <c r="U122" i="32"/>
  <c r="AE122" i="32"/>
  <c r="AJ122" i="32"/>
  <c r="Z122" i="32"/>
  <c r="P159" i="32"/>
  <c r="P187" i="32"/>
  <c r="AJ119" i="32"/>
  <c r="Z119" i="32"/>
  <c r="AE119" i="32"/>
  <c r="U119" i="32"/>
  <c r="Y191" i="32"/>
  <c r="AD191" i="32"/>
  <c r="T191" i="32"/>
  <c r="V166" i="32"/>
  <c r="AF166" i="32"/>
  <c r="AA166" i="32"/>
  <c r="R171" i="32"/>
  <c r="AB131" i="32"/>
  <c r="W131" i="32"/>
  <c r="R199" i="32"/>
  <c r="AL131" i="32"/>
  <c r="AG131" i="32"/>
  <c r="O197" i="32"/>
  <c r="O169" i="32"/>
  <c r="AD129" i="32"/>
  <c r="T129" i="32"/>
  <c r="Y129" i="32"/>
  <c r="AI129" i="32"/>
  <c r="R188" i="32"/>
  <c r="AL120" i="32"/>
  <c r="AB120" i="32"/>
  <c r="AG120" i="32"/>
  <c r="W120" i="32"/>
  <c r="R160" i="32"/>
  <c r="Z164" i="32"/>
  <c r="U164" i="32"/>
  <c r="Z232" i="32"/>
  <c r="AE232" i="32"/>
  <c r="U232" i="32"/>
  <c r="AG212" i="32"/>
  <c r="W212" i="32"/>
  <c r="AB212" i="32"/>
  <c r="O184" i="32"/>
  <c r="O156" i="32"/>
  <c r="AD116" i="32"/>
  <c r="Y116" i="32"/>
  <c r="T116" i="32"/>
  <c r="AI116" i="32"/>
  <c r="Z204" i="32"/>
  <c r="AE204" i="32"/>
  <c r="U204" i="32"/>
  <c r="Y226" i="32"/>
  <c r="T226" i="32"/>
  <c r="AD226" i="32"/>
  <c r="AE221" i="32"/>
  <c r="U221" i="32"/>
  <c r="Z221" i="32"/>
  <c r="Q232" i="32"/>
  <c r="Q205" i="32"/>
  <c r="AF75" i="32"/>
  <c r="V75" i="32"/>
  <c r="AK75" i="32"/>
  <c r="AA75" i="32"/>
  <c r="AK86" i="32"/>
  <c r="O234" i="32"/>
  <c r="O207" i="32"/>
  <c r="AD77" i="32"/>
  <c r="T77" i="32"/>
  <c r="AI77" i="32"/>
  <c r="Y77" i="32"/>
  <c r="AD178" i="32"/>
  <c r="T178" i="32"/>
  <c r="Y178" i="32"/>
  <c r="AE191" i="32"/>
  <c r="U191" i="32"/>
  <c r="Z191" i="32"/>
  <c r="AF211" i="32"/>
  <c r="V211" i="32"/>
  <c r="AA211" i="32"/>
  <c r="AG236" i="32"/>
  <c r="W236" i="32"/>
  <c r="AB236" i="32"/>
  <c r="Y222" i="32"/>
  <c r="AD222" i="32"/>
  <c r="T222" i="32"/>
  <c r="V214" i="32"/>
  <c r="AF214" i="32"/>
  <c r="AA214" i="32"/>
  <c r="AK82" i="32"/>
  <c r="AD233" i="32"/>
  <c r="T233" i="32"/>
  <c r="Y233" i="32"/>
  <c r="P243" i="32"/>
  <c r="P216" i="32"/>
  <c r="AJ86" i="32"/>
  <c r="Z86" i="32"/>
  <c r="AE86" i="32"/>
  <c r="U86" i="32"/>
  <c r="Q250" i="32"/>
  <c r="Q223" i="32"/>
  <c r="AK93" i="32"/>
  <c r="AA93" i="32"/>
  <c r="V93" i="32"/>
  <c r="AF93" i="32"/>
  <c r="O204" i="32"/>
  <c r="O231" i="32"/>
  <c r="AD74" i="32"/>
  <c r="T74" i="32"/>
  <c r="AI74" i="32"/>
  <c r="Y74" i="32"/>
  <c r="AA237" i="32"/>
  <c r="V237" i="32"/>
  <c r="AF237" i="32"/>
  <c r="Q198" i="32"/>
  <c r="Q170" i="32"/>
  <c r="AA130" i="32"/>
  <c r="AK130" i="32"/>
  <c r="AF130" i="32"/>
  <c r="V130" i="32"/>
  <c r="P188" i="32"/>
  <c r="P160" i="32"/>
  <c r="AJ120" i="32"/>
  <c r="Z120" i="32"/>
  <c r="U120" i="32"/>
  <c r="AE120" i="32"/>
  <c r="P180" i="32"/>
  <c r="AJ112" i="32"/>
  <c r="Z112" i="32"/>
  <c r="U112" i="32"/>
  <c r="P152" i="32"/>
  <c r="AE112" i="32"/>
  <c r="AK129" i="32"/>
  <c r="P167" i="32"/>
  <c r="P195" i="32"/>
  <c r="U127" i="32"/>
  <c r="AE127" i="32"/>
  <c r="Z127" i="32"/>
  <c r="AJ127" i="32"/>
  <c r="AK126" i="32"/>
  <c r="O195" i="32"/>
  <c r="O167" i="32"/>
  <c r="AD127" i="32"/>
  <c r="T127" i="32"/>
  <c r="AI127" i="32"/>
  <c r="Y127" i="32"/>
  <c r="P249" i="32"/>
  <c r="P222" i="32"/>
  <c r="U92" i="32"/>
  <c r="AE92" i="32"/>
  <c r="AJ92" i="32"/>
  <c r="Z92" i="32"/>
  <c r="Q253" i="32"/>
  <c r="Q226" i="32"/>
  <c r="AF96" i="32"/>
  <c r="V96" i="32"/>
  <c r="AK96" i="32"/>
  <c r="AA96" i="32"/>
  <c r="R161" i="32"/>
  <c r="R189" i="32"/>
  <c r="AB121" i="32"/>
  <c r="AL121" i="32"/>
  <c r="AG121" i="32"/>
  <c r="W121" i="32"/>
  <c r="R251" i="32"/>
  <c r="R224" i="32"/>
  <c r="W94" i="32"/>
  <c r="AG94" i="32"/>
  <c r="AL94" i="32"/>
  <c r="AB94" i="32"/>
  <c r="O218" i="32"/>
  <c r="O245" i="32"/>
  <c r="AD88" i="32"/>
  <c r="T88" i="32"/>
  <c r="AI88" i="32"/>
  <c r="Y88" i="32"/>
  <c r="AD238" i="32"/>
  <c r="T238" i="32"/>
  <c r="AG215" i="32"/>
  <c r="W215" i="32"/>
  <c r="AB215" i="32"/>
  <c r="AG239" i="32"/>
  <c r="W239" i="32"/>
  <c r="AB239" i="32"/>
  <c r="AE225" i="32"/>
  <c r="U225" i="32"/>
  <c r="Z225" i="32"/>
  <c r="AF220" i="32"/>
  <c r="AA220" i="32"/>
  <c r="V220" i="32"/>
  <c r="Z231" i="32"/>
  <c r="AE231" i="32"/>
  <c r="U231" i="32"/>
  <c r="R235" i="32"/>
  <c r="R208" i="32"/>
  <c r="AL78" i="32"/>
  <c r="AB78" i="32"/>
  <c r="AG78" i="32"/>
  <c r="W78" i="32"/>
  <c r="P171" i="32"/>
  <c r="P199" i="32"/>
  <c r="U131" i="32"/>
  <c r="AE131" i="32"/>
  <c r="Z131" i="32"/>
  <c r="AJ131" i="32"/>
  <c r="Z248" i="32"/>
  <c r="AE248" i="32"/>
  <c r="U248" i="32"/>
  <c r="Q236" i="32"/>
  <c r="Q209" i="32"/>
  <c r="AF79" i="32"/>
  <c r="V79" i="32"/>
  <c r="AK79" i="32"/>
  <c r="AA79" i="32"/>
  <c r="Q231" i="32"/>
  <c r="Q204" i="32"/>
  <c r="AF74" i="32"/>
  <c r="V74" i="32"/>
  <c r="AK74" i="32"/>
  <c r="AA74" i="32"/>
  <c r="R152" i="32"/>
  <c r="AL112" i="32"/>
  <c r="AB112" i="32"/>
  <c r="AG112" i="32"/>
  <c r="W112" i="32"/>
  <c r="R180" i="32"/>
  <c r="AD150" i="32"/>
  <c r="T150" i="32"/>
  <c r="Y150" i="32"/>
  <c r="R238" i="32"/>
  <c r="R211" i="32"/>
  <c r="AL81" i="32"/>
  <c r="W81" i="32"/>
  <c r="AG81" i="32"/>
  <c r="AB81" i="32"/>
  <c r="O177" i="32"/>
  <c r="O149" i="32"/>
  <c r="T109" i="32"/>
  <c r="AI109" i="32"/>
  <c r="Y109" i="32"/>
  <c r="AD109" i="32"/>
  <c r="Z163" i="32"/>
  <c r="AE163" i="32"/>
  <c r="U163" i="32"/>
  <c r="AA238" i="32"/>
  <c r="AF238" i="32"/>
  <c r="V238" i="32"/>
  <c r="AF215" i="32"/>
  <c r="AA215" i="32"/>
  <c r="V215" i="32"/>
  <c r="AK80" i="32"/>
  <c r="AG226" i="32"/>
  <c r="W226" i="32"/>
  <c r="AB226" i="32"/>
  <c r="AA241" i="32"/>
  <c r="V241" i="32"/>
  <c r="AF241" i="32"/>
  <c r="AD206" i="32"/>
  <c r="T206" i="32"/>
  <c r="Y206" i="32"/>
  <c r="D79" i="31"/>
  <c r="E72" i="31"/>
  <c r="E81" i="31" s="1"/>
  <c r="P111" i="31"/>
  <c r="E62" i="31" s="1"/>
  <c r="R128" i="31"/>
  <c r="R143" i="31" s="1"/>
  <c r="Q128" i="31"/>
  <c r="Q143" i="31" s="1"/>
  <c r="P122" i="31"/>
  <c r="O131" i="31"/>
  <c r="L131" i="31" s="1"/>
  <c r="G75" i="31"/>
  <c r="F78" i="31"/>
  <c r="R111" i="31"/>
  <c r="G62" i="31" s="1"/>
  <c r="I53" i="31"/>
  <c r="I95" i="31" s="1"/>
  <c r="L128" i="31"/>
  <c r="L97" i="31"/>
  <c r="L95" i="31"/>
  <c r="L116" i="31"/>
  <c r="L111" i="31"/>
  <c r="L109" i="31"/>
  <c r="L96" i="31"/>
  <c r="L94" i="31"/>
  <c r="L91" i="31"/>
  <c r="L90" i="31"/>
  <c r="L89" i="31"/>
  <c r="L88" i="31"/>
  <c r="L115" i="31"/>
  <c r="L114" i="31"/>
  <c r="L113" i="31"/>
  <c r="L110" i="31"/>
  <c r="L108" i="31"/>
  <c r="L122" i="31"/>
  <c r="O143" i="31"/>
  <c r="R112" i="31"/>
  <c r="G63" i="31" s="1"/>
  <c r="G78" i="31"/>
  <c r="O112" i="31"/>
  <c r="D63" i="31" s="1"/>
  <c r="D80" i="31" s="1"/>
  <c r="Q111" i="31"/>
  <c r="F62" i="31" s="1"/>
  <c r="J115" i="31"/>
  <c r="J114" i="31"/>
  <c r="J113" i="31"/>
  <c r="J110" i="31"/>
  <c r="J108" i="31"/>
  <c r="J97" i="31"/>
  <c r="J95" i="31"/>
  <c r="J116" i="31"/>
  <c r="J111" i="31"/>
  <c r="J109" i="31"/>
  <c r="J117" i="31" s="1"/>
  <c r="J96" i="31"/>
  <c r="J94" i="31"/>
  <c r="J91" i="31"/>
  <c r="J90" i="31"/>
  <c r="J89" i="31"/>
  <c r="J88" i="31"/>
  <c r="L130" i="31"/>
  <c r="E78" i="31"/>
  <c r="E73" i="31"/>
  <c r="R114" i="31"/>
  <c r="G65" i="31" s="1"/>
  <c r="R120" i="31"/>
  <c r="G70" i="31"/>
  <c r="G79" i="31" s="1"/>
  <c r="Q114" i="31"/>
  <c r="F65" i="31" s="1"/>
  <c r="Q120" i="31"/>
  <c r="F70" i="31"/>
  <c r="L139" i="31"/>
  <c r="O129" i="31"/>
  <c r="R122" i="31"/>
  <c r="K97" i="31"/>
  <c r="K95" i="31"/>
  <c r="K116" i="31"/>
  <c r="K111" i="31"/>
  <c r="K109" i="31"/>
  <c r="K114" i="31"/>
  <c r="K108" i="31"/>
  <c r="K115" i="31"/>
  <c r="K96" i="31"/>
  <c r="K94" i="31"/>
  <c r="K91" i="31"/>
  <c r="K90" i="31"/>
  <c r="K89" i="31"/>
  <c r="K88" i="31"/>
  <c r="K113" i="31"/>
  <c r="K110" i="31"/>
  <c r="F81" i="31"/>
  <c r="Q112" i="31"/>
  <c r="F63" i="31" s="1"/>
  <c r="F80" i="31" s="1"/>
  <c r="O111" i="31"/>
  <c r="D62" i="31" s="1"/>
  <c r="O113" i="31"/>
  <c r="D64" i="31" s="1"/>
  <c r="E70" i="31"/>
  <c r="E79" i="31" s="1"/>
  <c r="P114" i="31"/>
  <c r="E65" i="31" s="1"/>
  <c r="P120" i="31"/>
  <c r="R113" i="31"/>
  <c r="G64" i="31" s="1"/>
  <c r="F75" i="31"/>
  <c r="P121" i="31"/>
  <c r="Q130" i="31"/>
  <c r="D67" i="31"/>
  <c r="D81" i="31" s="1"/>
  <c r="P113" i="31"/>
  <c r="E64" i="31" s="1"/>
  <c r="I114" i="31"/>
  <c r="I113" i="31"/>
  <c r="I110" i="31"/>
  <c r="I108" i="31"/>
  <c r="I97" i="31"/>
  <c r="I88" i="31"/>
  <c r="I116" i="31"/>
  <c r="I111" i="31"/>
  <c r="I109" i="31"/>
  <c r="I96" i="31"/>
  <c r="R130" i="31"/>
  <c r="R145" i="31" s="1"/>
  <c r="F73" i="31"/>
  <c r="R129" i="31"/>
  <c r="Q129" i="31"/>
  <c r="Q144" i="31" s="1"/>
  <c r="P129" i="31"/>
  <c r="P145" i="31"/>
  <c r="D73" i="31"/>
  <c r="Q113" i="31"/>
  <c r="F64" i="31" s="1"/>
  <c r="O114" i="31"/>
  <c r="D65" i="31" s="1"/>
  <c r="A70" i="31" s="1"/>
  <c r="A71" i="31" s="1"/>
  <c r="J48" i="30"/>
  <c r="J79" i="30" s="1"/>
  <c r="D78" i="30"/>
  <c r="R48" i="30"/>
  <c r="G73" i="30"/>
  <c r="P48" i="30"/>
  <c r="L53" i="30"/>
  <c r="L96" i="30" s="1"/>
  <c r="J115" i="30"/>
  <c r="J114" i="30"/>
  <c r="J113" i="30"/>
  <c r="J110" i="30"/>
  <c r="J108" i="30"/>
  <c r="J97" i="30"/>
  <c r="J95" i="30"/>
  <c r="J116" i="30"/>
  <c r="J111" i="30"/>
  <c r="J109" i="30"/>
  <c r="J96" i="30"/>
  <c r="J94" i="30"/>
  <c r="J91" i="30"/>
  <c r="J90" i="30"/>
  <c r="J89" i="30"/>
  <c r="J88" i="30"/>
  <c r="O130" i="30"/>
  <c r="E72" i="30"/>
  <c r="Q59" i="30"/>
  <c r="K48" i="30"/>
  <c r="K79" i="30" s="1"/>
  <c r="I115" i="30"/>
  <c r="I114" i="30"/>
  <c r="I113" i="30"/>
  <c r="I110" i="30"/>
  <c r="I108" i="30"/>
  <c r="I97" i="30"/>
  <c r="I95" i="30"/>
  <c r="I116" i="30"/>
  <c r="I111" i="30"/>
  <c r="I109" i="30"/>
  <c r="I96" i="30"/>
  <c r="I94" i="30"/>
  <c r="I91" i="30"/>
  <c r="I90" i="30"/>
  <c r="I89" i="30"/>
  <c r="I88" i="30"/>
  <c r="L116" i="30"/>
  <c r="L94" i="30"/>
  <c r="L88" i="30"/>
  <c r="L110" i="30"/>
  <c r="F78" i="30"/>
  <c r="K53" i="30"/>
  <c r="P59" i="30"/>
  <c r="Q87" i="30"/>
  <c r="Q85" i="30"/>
  <c r="Q129" i="30" s="1"/>
  <c r="Q86" i="30"/>
  <c r="Q84" i="30"/>
  <c r="Q128" i="30" s="1"/>
  <c r="P87" i="30"/>
  <c r="P131" i="30" s="1"/>
  <c r="P85" i="30"/>
  <c r="P86" i="30"/>
  <c r="P130" i="30" s="1"/>
  <c r="P84" i="30"/>
  <c r="P128" i="30" s="1"/>
  <c r="O84" i="30"/>
  <c r="O128" i="30" s="1"/>
  <c r="O87" i="30"/>
  <c r="O131" i="30" s="1"/>
  <c r="O85" i="30"/>
  <c r="O129" i="30" s="1"/>
  <c r="K131" i="30"/>
  <c r="O86" i="30"/>
  <c r="R87" i="30"/>
  <c r="R131" i="30" s="1"/>
  <c r="R85" i="30"/>
  <c r="R129" i="30" s="1"/>
  <c r="R86" i="30"/>
  <c r="R130" i="30" s="1"/>
  <c r="R84" i="30"/>
  <c r="R128" i="30" s="1"/>
  <c r="Q70" i="30"/>
  <c r="Q117" i="30" s="1"/>
  <c r="Q73" i="30"/>
  <c r="Q72" i="30"/>
  <c r="Q119" i="30" s="1"/>
  <c r="Q71" i="30"/>
  <c r="Q118" i="30" s="1"/>
  <c r="P70" i="30"/>
  <c r="P117" i="30" s="1"/>
  <c r="P73" i="30"/>
  <c r="P120" i="30" s="1"/>
  <c r="P72" i="30"/>
  <c r="P119" i="30" s="1"/>
  <c r="P71" i="30"/>
  <c r="P118" i="30" s="1"/>
  <c r="L139" i="30"/>
  <c r="O70" i="30"/>
  <c r="O117" i="30" s="1"/>
  <c r="K119" i="30"/>
  <c r="O73" i="30"/>
  <c r="O72" i="30"/>
  <c r="O119" i="30" s="1"/>
  <c r="O71" i="30"/>
  <c r="Q131" i="30"/>
  <c r="O59" i="30"/>
  <c r="R70" i="30"/>
  <c r="R73" i="30"/>
  <c r="R72" i="30"/>
  <c r="R119" i="30" s="1"/>
  <c r="R71" i="30"/>
  <c r="R118" i="30" s="1"/>
  <c r="G60" i="30"/>
  <c r="R53" i="30"/>
  <c r="R60" i="30" s="1"/>
  <c r="E78" i="30"/>
  <c r="P129" i="30"/>
  <c r="Q130" i="30"/>
  <c r="O176" i="15"/>
  <c r="T176" i="15" s="1"/>
  <c r="AI108" i="15"/>
  <c r="Y108" i="15"/>
  <c r="O148" i="15"/>
  <c r="P239" i="15"/>
  <c r="P212" i="15"/>
  <c r="U82" i="15"/>
  <c r="AJ82" i="15"/>
  <c r="AE82" i="15"/>
  <c r="Z82" i="15"/>
  <c r="AB82" i="15"/>
  <c r="R239" i="15"/>
  <c r="R212" i="15"/>
  <c r="W82" i="15"/>
  <c r="AL82" i="15"/>
  <c r="AG82" i="15"/>
  <c r="V82" i="15"/>
  <c r="Q212" i="15"/>
  <c r="Q239" i="15"/>
  <c r="T82" i="15"/>
  <c r="AD82" i="15"/>
  <c r="Y82" i="15"/>
  <c r="O212" i="15"/>
  <c r="Q188" i="15"/>
  <c r="AA188" i="15" s="1"/>
  <c r="Q180" i="15"/>
  <c r="AA180" i="15" s="1"/>
  <c r="Q196" i="15"/>
  <c r="AA196" i="15" s="1"/>
  <c r="Q192" i="15"/>
  <c r="AF192" i="15" s="1"/>
  <c r="R176" i="15"/>
  <c r="R184" i="15"/>
  <c r="Q176" i="15"/>
  <c r="AF176" i="15" s="1"/>
  <c r="P184" i="15"/>
  <c r="AE184" i="15" s="1"/>
  <c r="R196" i="15"/>
  <c r="W196" i="15" s="1"/>
  <c r="R180" i="15"/>
  <c r="R188" i="15"/>
  <c r="R192" i="15"/>
  <c r="P176" i="15"/>
  <c r="P180" i="15"/>
  <c r="Q184" i="15"/>
  <c r="P188" i="15"/>
  <c r="P192" i="15"/>
  <c r="P196" i="15"/>
  <c r="AL124" i="15"/>
  <c r="AL112" i="15"/>
  <c r="AL116" i="15"/>
  <c r="AL128" i="15"/>
  <c r="V164" i="15"/>
  <c r="AB156" i="15"/>
  <c r="V148" i="15"/>
  <c r="AF156" i="15"/>
  <c r="AB148" i="15"/>
  <c r="Z160" i="15"/>
  <c r="AL108" i="15"/>
  <c r="AA160" i="15"/>
  <c r="V156" i="15"/>
  <c r="AL120" i="15"/>
  <c r="AA152" i="15"/>
  <c r="Z152" i="15"/>
  <c r="AF148" i="15"/>
  <c r="AB152" i="15"/>
  <c r="W152" i="15"/>
  <c r="AG152" i="15"/>
  <c r="AB160" i="15"/>
  <c r="W160" i="15"/>
  <c r="AG160" i="15"/>
  <c r="W164" i="15"/>
  <c r="AB164" i="15"/>
  <c r="U156" i="15"/>
  <c r="AE148" i="15"/>
  <c r="V152" i="15"/>
  <c r="R168" i="15"/>
  <c r="W168" i="15" s="1"/>
  <c r="U152" i="15"/>
  <c r="Z148" i="15"/>
  <c r="Z156" i="15"/>
  <c r="Q168" i="15"/>
  <c r="V168" i="15" s="1"/>
  <c r="W148" i="15"/>
  <c r="AJ108" i="15"/>
  <c r="AJ112" i="15"/>
  <c r="AJ116" i="15"/>
  <c r="AJ120" i="15"/>
  <c r="AJ124" i="15"/>
  <c r="AJ128" i="15"/>
  <c r="AE160" i="15"/>
  <c r="W156" i="15"/>
  <c r="AK108" i="15"/>
  <c r="AK112" i="15"/>
  <c r="AK116" i="15"/>
  <c r="AK120" i="15"/>
  <c r="AK124" i="15"/>
  <c r="AF160" i="15"/>
  <c r="P164" i="15"/>
  <c r="AB116" i="15"/>
  <c r="AG116" i="15"/>
  <c r="AA108" i="15"/>
  <c r="AF108" i="15"/>
  <c r="AA116" i="15"/>
  <c r="AF116" i="15"/>
  <c r="AF128" i="15"/>
  <c r="V128" i="15"/>
  <c r="AA128" i="15"/>
  <c r="AB108" i="15"/>
  <c r="AG108" i="15"/>
  <c r="AE108" i="15"/>
  <c r="Z108" i="15"/>
  <c r="U108" i="15"/>
  <c r="Z116" i="15"/>
  <c r="AE116" i="15"/>
  <c r="U116" i="15"/>
  <c r="AE128" i="15"/>
  <c r="U128" i="15"/>
  <c r="Z128" i="15"/>
  <c r="AG112" i="15"/>
  <c r="AB112" i="15"/>
  <c r="W112" i="15"/>
  <c r="W120" i="15"/>
  <c r="AG120" i="15"/>
  <c r="AB120" i="15"/>
  <c r="AB124" i="15"/>
  <c r="AG124" i="15"/>
  <c r="AF112" i="15"/>
  <c r="AA112" i="15"/>
  <c r="V112" i="15"/>
  <c r="V120" i="15"/>
  <c r="AF120" i="15"/>
  <c r="AA120" i="15"/>
  <c r="AA124" i="15"/>
  <c r="AF124" i="15"/>
  <c r="AE112" i="15"/>
  <c r="Z112" i="15"/>
  <c r="U112" i="15"/>
  <c r="AE120" i="15"/>
  <c r="Z120" i="15"/>
  <c r="U120" i="15"/>
  <c r="AB128" i="15"/>
  <c r="AE124" i="15"/>
  <c r="W124" i="15"/>
  <c r="W128" i="15"/>
  <c r="U124" i="15"/>
  <c r="V124" i="15"/>
  <c r="W108" i="15"/>
  <c r="W116" i="15"/>
  <c r="V108" i="15"/>
  <c r="V116" i="15"/>
  <c r="D79" i="13"/>
  <c r="D81" i="13"/>
  <c r="R111" i="13"/>
  <c r="P114" i="13"/>
  <c r="P112" i="13"/>
  <c r="R114" i="13"/>
  <c r="R112" i="13"/>
  <c r="Q113" i="13"/>
  <c r="Q112" i="13"/>
  <c r="O113" i="13"/>
  <c r="O112" i="13"/>
  <c r="Q114" i="13"/>
  <c r="P111" i="13"/>
  <c r="O114" i="13"/>
  <c r="Q111" i="13"/>
  <c r="O111" i="13"/>
  <c r="W242" i="32" l="1"/>
  <c r="AF239" i="15"/>
  <c r="AA239" i="15"/>
  <c r="V239" i="15"/>
  <c r="Z239" i="15"/>
  <c r="U239" i="15"/>
  <c r="AB239" i="15"/>
  <c r="W239" i="15"/>
  <c r="AE239" i="15"/>
  <c r="E80" i="31"/>
  <c r="AB207" i="32"/>
  <c r="Z207" i="32"/>
  <c r="AB242" i="32"/>
  <c r="W207" i="32"/>
  <c r="U207" i="32"/>
  <c r="AD210" i="32"/>
  <c r="Y251" i="32"/>
  <c r="T241" i="32"/>
  <c r="T251" i="32"/>
  <c r="AF233" i="32"/>
  <c r="V212" i="32"/>
  <c r="AD227" i="32"/>
  <c r="T210" i="32"/>
  <c r="Y227" i="32"/>
  <c r="T224" i="32"/>
  <c r="AD149" i="32"/>
  <c r="T149" i="32"/>
  <c r="Y149" i="32"/>
  <c r="W156" i="32"/>
  <c r="AG156" i="32"/>
  <c r="AB156" i="32"/>
  <c r="AD235" i="32"/>
  <c r="T235" i="32"/>
  <c r="Y235" i="32"/>
  <c r="Y212" i="32"/>
  <c r="AD212" i="32"/>
  <c r="T212" i="32"/>
  <c r="U151" i="32"/>
  <c r="AE151" i="32"/>
  <c r="Z151" i="32"/>
  <c r="Y198" i="32"/>
  <c r="AD198" i="32"/>
  <c r="T198" i="32"/>
  <c r="AG196" i="32"/>
  <c r="W196" i="32"/>
  <c r="AB196" i="32"/>
  <c r="T164" i="32"/>
  <c r="Y164" i="32"/>
  <c r="AG217" i="32"/>
  <c r="W217" i="32"/>
  <c r="AB217" i="32"/>
  <c r="Z153" i="32"/>
  <c r="AE153" i="32"/>
  <c r="U153" i="32"/>
  <c r="AE215" i="32"/>
  <c r="U215" i="32"/>
  <c r="Z215" i="32"/>
  <c r="V159" i="32"/>
  <c r="AA159" i="32"/>
  <c r="AF159" i="32"/>
  <c r="AG195" i="32"/>
  <c r="W195" i="32"/>
  <c r="AB195" i="32"/>
  <c r="AE198" i="32"/>
  <c r="U198" i="32"/>
  <c r="Z198" i="32"/>
  <c r="AG248" i="32"/>
  <c r="W248" i="32"/>
  <c r="AB248" i="32"/>
  <c r="AE156" i="32"/>
  <c r="U156" i="32"/>
  <c r="Z156" i="32"/>
  <c r="V207" i="32"/>
  <c r="AF207" i="32"/>
  <c r="AA207" i="32"/>
  <c r="AG243" i="32"/>
  <c r="W243" i="32"/>
  <c r="AB243" i="32"/>
  <c r="AE210" i="32"/>
  <c r="U210" i="32"/>
  <c r="Z210" i="32"/>
  <c r="AA225" i="32"/>
  <c r="V225" i="32"/>
  <c r="AF225" i="32"/>
  <c r="V208" i="32"/>
  <c r="AF208" i="32"/>
  <c r="AA208" i="32"/>
  <c r="AE169" i="32"/>
  <c r="U169" i="32"/>
  <c r="Z169" i="32"/>
  <c r="AG191" i="32"/>
  <c r="W191" i="32"/>
  <c r="AB191" i="32"/>
  <c r="AD177" i="32"/>
  <c r="T177" i="32"/>
  <c r="Y177" i="32"/>
  <c r="AG189" i="32"/>
  <c r="W189" i="32"/>
  <c r="AB189" i="32"/>
  <c r="AD207" i="32"/>
  <c r="T207" i="32"/>
  <c r="Y207" i="32"/>
  <c r="AA232" i="32"/>
  <c r="AF232" i="32"/>
  <c r="V232" i="32"/>
  <c r="AB160" i="32"/>
  <c r="W160" i="32"/>
  <c r="AG160" i="32"/>
  <c r="AG183" i="32"/>
  <c r="W183" i="32"/>
  <c r="AB183" i="32"/>
  <c r="AD185" i="32"/>
  <c r="T185" i="32"/>
  <c r="Y185" i="32"/>
  <c r="AD208" i="32"/>
  <c r="T208" i="32"/>
  <c r="Y208" i="32"/>
  <c r="AB204" i="32"/>
  <c r="AG204" i="32"/>
  <c r="W204" i="32"/>
  <c r="Z179" i="32"/>
  <c r="AE179" i="32"/>
  <c r="U179" i="32"/>
  <c r="AG190" i="32"/>
  <c r="W190" i="32"/>
  <c r="AB190" i="32"/>
  <c r="AA196" i="32"/>
  <c r="V196" i="32"/>
  <c r="AF196" i="32"/>
  <c r="AG244" i="32"/>
  <c r="W244" i="32"/>
  <c r="AB244" i="32"/>
  <c r="Z181" i="32"/>
  <c r="AE181" i="32"/>
  <c r="U181" i="32"/>
  <c r="V161" i="32"/>
  <c r="AF161" i="32"/>
  <c r="AA161" i="32"/>
  <c r="Z242" i="32"/>
  <c r="AE242" i="32"/>
  <c r="U242" i="32"/>
  <c r="AG169" i="32"/>
  <c r="AB169" i="32"/>
  <c r="W169" i="32"/>
  <c r="AE170" i="32"/>
  <c r="U170" i="32"/>
  <c r="Z170" i="32"/>
  <c r="AG194" i="32"/>
  <c r="W194" i="32"/>
  <c r="AB194" i="32"/>
  <c r="AG219" i="32"/>
  <c r="W219" i="32"/>
  <c r="AB219" i="32"/>
  <c r="AE194" i="32"/>
  <c r="U194" i="32"/>
  <c r="Z194" i="32"/>
  <c r="AG198" i="32"/>
  <c r="W198" i="32"/>
  <c r="AB198" i="32"/>
  <c r="AE184" i="32"/>
  <c r="Z184" i="32"/>
  <c r="U184" i="32"/>
  <c r="AD244" i="32"/>
  <c r="T244" i="32"/>
  <c r="Y244" i="32"/>
  <c r="AB206" i="32"/>
  <c r="AG206" i="32"/>
  <c r="W206" i="32"/>
  <c r="AA153" i="32"/>
  <c r="V153" i="32"/>
  <c r="AF153" i="32"/>
  <c r="AA234" i="32"/>
  <c r="AF234" i="32"/>
  <c r="V234" i="32"/>
  <c r="AE226" i="32"/>
  <c r="U226" i="32"/>
  <c r="Z226" i="32"/>
  <c r="Z237" i="32"/>
  <c r="U237" i="32"/>
  <c r="AE237" i="32"/>
  <c r="AA252" i="32"/>
  <c r="AF252" i="32"/>
  <c r="V252" i="32"/>
  <c r="Y190" i="32"/>
  <c r="AD190" i="32"/>
  <c r="T190" i="32"/>
  <c r="W164" i="32"/>
  <c r="AB164" i="32"/>
  <c r="AA195" i="32"/>
  <c r="V195" i="32"/>
  <c r="AF195" i="32"/>
  <c r="AA235" i="32"/>
  <c r="AF235" i="32"/>
  <c r="V235" i="32"/>
  <c r="AG176" i="32"/>
  <c r="W176" i="32"/>
  <c r="AB176" i="32"/>
  <c r="AE195" i="32"/>
  <c r="U195" i="32"/>
  <c r="Z195" i="32"/>
  <c r="AD234" i="32"/>
  <c r="T234" i="32"/>
  <c r="Y234" i="32"/>
  <c r="AB171" i="32"/>
  <c r="AG171" i="32"/>
  <c r="W171" i="32"/>
  <c r="AD157" i="32"/>
  <c r="T157" i="32"/>
  <c r="Y157" i="32"/>
  <c r="V148" i="32"/>
  <c r="AF148" i="32"/>
  <c r="AA148" i="32"/>
  <c r="V155" i="32"/>
  <c r="AF155" i="32"/>
  <c r="AA155" i="32"/>
  <c r="AG246" i="32"/>
  <c r="W246" i="32"/>
  <c r="AB246" i="32"/>
  <c r="Y166" i="32"/>
  <c r="T166" i="32"/>
  <c r="AD166" i="32"/>
  <c r="AG224" i="32"/>
  <c r="W224" i="32"/>
  <c r="AB224" i="32"/>
  <c r="Y167" i="32"/>
  <c r="T167" i="32"/>
  <c r="AD167" i="32"/>
  <c r="Y169" i="32"/>
  <c r="T169" i="32"/>
  <c r="AD169" i="32"/>
  <c r="AE190" i="32"/>
  <c r="U190" i="32"/>
  <c r="Z190" i="32"/>
  <c r="AD248" i="32"/>
  <c r="T248" i="32"/>
  <c r="Y248" i="32"/>
  <c r="Y192" i="32"/>
  <c r="AD192" i="32"/>
  <c r="T192" i="32"/>
  <c r="AB150" i="32"/>
  <c r="W150" i="32"/>
  <c r="AG150" i="32"/>
  <c r="AD240" i="32"/>
  <c r="T240" i="32"/>
  <c r="Y240" i="32"/>
  <c r="AA150" i="32"/>
  <c r="V150" i="32"/>
  <c r="AF150" i="32"/>
  <c r="Z178" i="32"/>
  <c r="AE178" i="32"/>
  <c r="U178" i="32"/>
  <c r="AG186" i="32"/>
  <c r="W186" i="32"/>
  <c r="AB186" i="32"/>
  <c r="Y199" i="32"/>
  <c r="AD199" i="32"/>
  <c r="T199" i="32"/>
  <c r="AG167" i="32"/>
  <c r="AB167" i="32"/>
  <c r="W167" i="32"/>
  <c r="AF176" i="32"/>
  <c r="V176" i="32"/>
  <c r="AA176" i="32"/>
  <c r="AA160" i="32"/>
  <c r="AF160" i="32"/>
  <c r="V160" i="32"/>
  <c r="Y187" i="32"/>
  <c r="AD187" i="32"/>
  <c r="T187" i="32"/>
  <c r="Z149" i="32"/>
  <c r="U149" i="32"/>
  <c r="AE149" i="32"/>
  <c r="AF186" i="32"/>
  <c r="V186" i="32"/>
  <c r="AA186" i="32"/>
  <c r="AD160" i="32"/>
  <c r="T160" i="32"/>
  <c r="Y160" i="32"/>
  <c r="AB170" i="32"/>
  <c r="AG170" i="32"/>
  <c r="W170" i="32"/>
  <c r="AA157" i="32"/>
  <c r="V157" i="32"/>
  <c r="AF157" i="32"/>
  <c r="AE193" i="32"/>
  <c r="U193" i="32"/>
  <c r="Z193" i="32"/>
  <c r="AF163" i="32"/>
  <c r="AA163" i="32"/>
  <c r="V163" i="32"/>
  <c r="AB154" i="32"/>
  <c r="AG154" i="32"/>
  <c r="W154" i="32"/>
  <c r="AG149" i="32"/>
  <c r="W149" i="32"/>
  <c r="AB149" i="32"/>
  <c r="AD242" i="32"/>
  <c r="T242" i="32"/>
  <c r="Y242" i="32"/>
  <c r="Y219" i="32"/>
  <c r="T219" i="32"/>
  <c r="AD219" i="32"/>
  <c r="AG192" i="32"/>
  <c r="W192" i="32"/>
  <c r="AB192" i="32"/>
  <c r="AG237" i="32"/>
  <c r="W237" i="32"/>
  <c r="AB237" i="32"/>
  <c r="Z254" i="32"/>
  <c r="AE254" i="32"/>
  <c r="U254" i="32"/>
  <c r="AG254" i="32"/>
  <c r="W254" i="32"/>
  <c r="AB254" i="32"/>
  <c r="Y194" i="32"/>
  <c r="AD194" i="32"/>
  <c r="T194" i="32"/>
  <c r="AA253" i="32"/>
  <c r="V253" i="32"/>
  <c r="AF253" i="32"/>
  <c r="V205" i="32"/>
  <c r="AF205" i="32"/>
  <c r="AA205" i="32"/>
  <c r="AB208" i="32"/>
  <c r="AG208" i="32"/>
  <c r="W208" i="32"/>
  <c r="AG231" i="32"/>
  <c r="W231" i="32"/>
  <c r="AB231" i="32"/>
  <c r="AF187" i="32"/>
  <c r="AA187" i="32"/>
  <c r="V187" i="32"/>
  <c r="AG233" i="32"/>
  <c r="W233" i="32"/>
  <c r="AB233" i="32"/>
  <c r="AG210" i="32"/>
  <c r="W210" i="32"/>
  <c r="AB210" i="32"/>
  <c r="AE227" i="32"/>
  <c r="U227" i="32"/>
  <c r="Z227" i="32"/>
  <c r="AG227" i="32"/>
  <c r="W227" i="32"/>
  <c r="AB227" i="32"/>
  <c r="AG180" i="32"/>
  <c r="W180" i="32"/>
  <c r="AB180" i="32"/>
  <c r="V209" i="32"/>
  <c r="AF209" i="32"/>
  <c r="AA209" i="32"/>
  <c r="AG235" i="32"/>
  <c r="W235" i="32"/>
  <c r="AB235" i="32"/>
  <c r="AE167" i="32"/>
  <c r="U167" i="32"/>
  <c r="Z167" i="32"/>
  <c r="AA236" i="32"/>
  <c r="AF236" i="32"/>
  <c r="V236" i="32"/>
  <c r="AE199" i="32"/>
  <c r="U199" i="32"/>
  <c r="Z199" i="32"/>
  <c r="AG251" i="32"/>
  <c r="W251" i="32"/>
  <c r="AB251" i="32"/>
  <c r="Y195" i="32"/>
  <c r="AD195" i="32"/>
  <c r="T195" i="32"/>
  <c r="Y197" i="32"/>
  <c r="AD197" i="32"/>
  <c r="T197" i="32"/>
  <c r="Z162" i="32"/>
  <c r="AE162" i="32"/>
  <c r="U162" i="32"/>
  <c r="AG155" i="32"/>
  <c r="AB155" i="32"/>
  <c r="W155" i="32"/>
  <c r="Y221" i="32"/>
  <c r="T221" i="32"/>
  <c r="AD221" i="32"/>
  <c r="AE220" i="32"/>
  <c r="U220" i="32"/>
  <c r="Z220" i="32"/>
  <c r="AE212" i="32"/>
  <c r="U212" i="32"/>
  <c r="Z212" i="32"/>
  <c r="AF227" i="32"/>
  <c r="V227" i="32"/>
  <c r="AA227" i="32"/>
  <c r="Y213" i="32"/>
  <c r="T213" i="32"/>
  <c r="AD213" i="32"/>
  <c r="AB205" i="32"/>
  <c r="AG205" i="32"/>
  <c r="W205" i="32"/>
  <c r="AB158" i="32"/>
  <c r="W158" i="32"/>
  <c r="AG158" i="32"/>
  <c r="AG220" i="32"/>
  <c r="W220" i="32"/>
  <c r="AB220" i="32"/>
  <c r="Z157" i="32"/>
  <c r="U157" i="32"/>
  <c r="AE157" i="32"/>
  <c r="AF182" i="32"/>
  <c r="V182" i="32"/>
  <c r="AA182" i="32"/>
  <c r="AA164" i="32"/>
  <c r="V164" i="32"/>
  <c r="AF183" i="32"/>
  <c r="AA183" i="32"/>
  <c r="V183" i="32"/>
  <c r="AA188" i="32"/>
  <c r="V188" i="32"/>
  <c r="AF188" i="32"/>
  <c r="Z177" i="32"/>
  <c r="AE177" i="32"/>
  <c r="U177" i="32"/>
  <c r="AD180" i="32"/>
  <c r="T180" i="32"/>
  <c r="Y180" i="32"/>
  <c r="Y188" i="32"/>
  <c r="AD188" i="32"/>
  <c r="T188" i="32"/>
  <c r="AB165" i="32"/>
  <c r="W165" i="32"/>
  <c r="AG165" i="32"/>
  <c r="AF162" i="32"/>
  <c r="AA162" i="32"/>
  <c r="V162" i="32"/>
  <c r="AE165" i="32"/>
  <c r="U165" i="32"/>
  <c r="Z165" i="32"/>
  <c r="AG177" i="32"/>
  <c r="W177" i="32"/>
  <c r="AB177" i="32"/>
  <c r="Y215" i="32"/>
  <c r="T215" i="32"/>
  <c r="AD215" i="32"/>
  <c r="AD153" i="32"/>
  <c r="T153" i="32"/>
  <c r="Y153" i="32"/>
  <c r="AD161" i="32"/>
  <c r="T161" i="32"/>
  <c r="Y161" i="32"/>
  <c r="V222" i="32"/>
  <c r="AF222" i="32"/>
  <c r="AA222" i="32"/>
  <c r="AE217" i="32"/>
  <c r="U217" i="32"/>
  <c r="Z217" i="32"/>
  <c r="AG153" i="32"/>
  <c r="AB153" i="32"/>
  <c r="W153" i="32"/>
  <c r="AE218" i="32"/>
  <c r="U218" i="32"/>
  <c r="Z218" i="32"/>
  <c r="AD245" i="32"/>
  <c r="T245" i="32"/>
  <c r="Y245" i="32"/>
  <c r="AE216" i="32"/>
  <c r="U216" i="32"/>
  <c r="Z216" i="32"/>
  <c r="Z187" i="32"/>
  <c r="U187" i="32"/>
  <c r="AE187" i="32"/>
  <c r="U155" i="32"/>
  <c r="AE155" i="32"/>
  <c r="Z155" i="32"/>
  <c r="V151" i="32"/>
  <c r="AF151" i="32"/>
  <c r="AA151" i="32"/>
  <c r="AG213" i="32"/>
  <c r="W213" i="32"/>
  <c r="AB213" i="32"/>
  <c r="W159" i="32"/>
  <c r="AG159" i="32"/>
  <c r="AB159" i="32"/>
  <c r="Z247" i="32"/>
  <c r="AE247" i="32"/>
  <c r="U247" i="32"/>
  <c r="Z239" i="32"/>
  <c r="AE239" i="32"/>
  <c r="U239" i="32"/>
  <c r="AA254" i="32"/>
  <c r="AF254" i="32"/>
  <c r="V254" i="32"/>
  <c r="AD209" i="32"/>
  <c r="T209" i="32"/>
  <c r="Y209" i="32"/>
  <c r="AG232" i="32"/>
  <c r="W232" i="32"/>
  <c r="AB232" i="32"/>
  <c r="AD154" i="32"/>
  <c r="T154" i="32"/>
  <c r="Y154" i="32"/>
  <c r="AG247" i="32"/>
  <c r="W247" i="32"/>
  <c r="AB247" i="32"/>
  <c r="U185" i="32"/>
  <c r="AE185" i="32"/>
  <c r="Z185" i="32"/>
  <c r="AA154" i="32"/>
  <c r="AF154" i="32"/>
  <c r="V154" i="32"/>
  <c r="AA149" i="32"/>
  <c r="V149" i="32"/>
  <c r="AF149" i="32"/>
  <c r="AE213" i="32"/>
  <c r="U213" i="32"/>
  <c r="Z213" i="32"/>
  <c r="AG151" i="32"/>
  <c r="W151" i="32"/>
  <c r="AB151" i="32"/>
  <c r="AA190" i="32"/>
  <c r="V190" i="32"/>
  <c r="AF190" i="32"/>
  <c r="AD205" i="32"/>
  <c r="T205" i="32"/>
  <c r="Y205" i="32"/>
  <c r="AA191" i="32"/>
  <c r="V191" i="32"/>
  <c r="AF191" i="32"/>
  <c r="AD181" i="32"/>
  <c r="T181" i="32"/>
  <c r="Y181" i="32"/>
  <c r="AA249" i="32"/>
  <c r="V249" i="32"/>
  <c r="AF249" i="32"/>
  <c r="Z244" i="32"/>
  <c r="AE244" i="32"/>
  <c r="U244" i="32"/>
  <c r="AF180" i="32"/>
  <c r="V180" i="32"/>
  <c r="AA180" i="32"/>
  <c r="Z245" i="32"/>
  <c r="U245" i="32"/>
  <c r="AE245" i="32"/>
  <c r="W152" i="32"/>
  <c r="AG152" i="32"/>
  <c r="AB152" i="32"/>
  <c r="AA250" i="32"/>
  <c r="AF250" i="32"/>
  <c r="V250" i="32"/>
  <c r="AD184" i="32"/>
  <c r="T184" i="32"/>
  <c r="Y184" i="32"/>
  <c r="AF171" i="32"/>
  <c r="AA171" i="32"/>
  <c r="V171" i="32"/>
  <c r="AG162" i="32"/>
  <c r="AB162" i="32"/>
  <c r="W162" i="32"/>
  <c r="AF178" i="32"/>
  <c r="V178" i="32"/>
  <c r="AA178" i="32"/>
  <c r="AG179" i="32"/>
  <c r="W179" i="32"/>
  <c r="AB179" i="32"/>
  <c r="AA158" i="32"/>
  <c r="V158" i="32"/>
  <c r="AF158" i="32"/>
  <c r="Y217" i="32"/>
  <c r="T217" i="32"/>
  <c r="AD217" i="32"/>
  <c r="Z253" i="32"/>
  <c r="U253" i="32"/>
  <c r="AE253" i="32"/>
  <c r="V152" i="32"/>
  <c r="AA152" i="32"/>
  <c r="AF152" i="32"/>
  <c r="AE171" i="32"/>
  <c r="U171" i="32"/>
  <c r="Z171" i="32"/>
  <c r="V170" i="32"/>
  <c r="AA170" i="32"/>
  <c r="AF170" i="32"/>
  <c r="AG211" i="32"/>
  <c r="W211" i="32"/>
  <c r="AB211" i="32"/>
  <c r="AA231" i="32"/>
  <c r="AF231" i="32"/>
  <c r="V231" i="32"/>
  <c r="Y218" i="32"/>
  <c r="T218" i="32"/>
  <c r="AD218" i="32"/>
  <c r="Z249" i="32"/>
  <c r="U249" i="32"/>
  <c r="AE249" i="32"/>
  <c r="AE152" i="32"/>
  <c r="Z152" i="32"/>
  <c r="U152" i="32"/>
  <c r="AA198" i="32"/>
  <c r="V198" i="32"/>
  <c r="AF198" i="32"/>
  <c r="AD231" i="32"/>
  <c r="T231" i="32"/>
  <c r="Y231" i="32"/>
  <c r="Z243" i="32"/>
  <c r="U243" i="32"/>
  <c r="AE243" i="32"/>
  <c r="AG188" i="32"/>
  <c r="W188" i="32"/>
  <c r="AB188" i="32"/>
  <c r="AE159" i="32"/>
  <c r="U159" i="32"/>
  <c r="Z159" i="32"/>
  <c r="Z183" i="32"/>
  <c r="AE183" i="32"/>
  <c r="U183" i="32"/>
  <c r="V218" i="32"/>
  <c r="AF218" i="32"/>
  <c r="AA218" i="32"/>
  <c r="AF179" i="32"/>
  <c r="AA179" i="32"/>
  <c r="V179" i="32"/>
  <c r="AG240" i="32"/>
  <c r="W240" i="32"/>
  <c r="AB240" i="32"/>
  <c r="AG187" i="32"/>
  <c r="W187" i="32"/>
  <c r="AB187" i="32"/>
  <c r="Z186" i="32"/>
  <c r="AE186" i="32"/>
  <c r="U186" i="32"/>
  <c r="AG178" i="32"/>
  <c r="W178" i="32"/>
  <c r="AB178" i="32"/>
  <c r="AD155" i="32"/>
  <c r="T155" i="32"/>
  <c r="Y155" i="32"/>
  <c r="AD236" i="32"/>
  <c r="T236" i="32"/>
  <c r="Y236" i="32"/>
  <c r="AD247" i="32"/>
  <c r="T247" i="32"/>
  <c r="Y247" i="32"/>
  <c r="AD182" i="32"/>
  <c r="T182" i="32"/>
  <c r="Y182" i="32"/>
  <c r="AG222" i="32"/>
  <c r="W222" i="32"/>
  <c r="AB222" i="32"/>
  <c r="AE148" i="32"/>
  <c r="Z148" i="32"/>
  <c r="U148" i="32"/>
  <c r="W166" i="32"/>
  <c r="AG166" i="32"/>
  <c r="AB166" i="32"/>
  <c r="AF177" i="32"/>
  <c r="AA177" i="32"/>
  <c r="V177" i="32"/>
  <c r="Z240" i="32"/>
  <c r="AE240" i="32"/>
  <c r="U240" i="32"/>
  <c r="AD250" i="32"/>
  <c r="T250" i="32"/>
  <c r="Y250" i="32"/>
  <c r="Y196" i="32"/>
  <c r="AD196" i="32"/>
  <c r="T196" i="32"/>
  <c r="AG193" i="32"/>
  <c r="W193" i="32"/>
  <c r="AB193" i="32"/>
  <c r="V185" i="32"/>
  <c r="AF185" i="32"/>
  <c r="AA185" i="32"/>
  <c r="AD232" i="32"/>
  <c r="T232" i="32"/>
  <c r="Y232" i="32"/>
  <c r="AG182" i="32"/>
  <c r="W182" i="32"/>
  <c r="AB182" i="32"/>
  <c r="AE214" i="32"/>
  <c r="U214" i="32"/>
  <c r="Z214" i="32"/>
  <c r="V156" i="32"/>
  <c r="AA156" i="32"/>
  <c r="AF156" i="32"/>
  <c r="AD162" i="32"/>
  <c r="T162" i="32"/>
  <c r="Y162" i="32"/>
  <c r="AE154" i="32"/>
  <c r="Z154" i="32"/>
  <c r="U154" i="32"/>
  <c r="AD151" i="32"/>
  <c r="T151" i="32"/>
  <c r="Y151" i="32"/>
  <c r="AD148" i="32"/>
  <c r="T148" i="32"/>
  <c r="Y148" i="32"/>
  <c r="W148" i="32"/>
  <c r="AG148" i="32"/>
  <c r="AB148" i="32"/>
  <c r="AB163" i="32"/>
  <c r="W163" i="32"/>
  <c r="AG163" i="32"/>
  <c r="AF224" i="32"/>
  <c r="AA224" i="32"/>
  <c r="V224" i="32"/>
  <c r="Z161" i="32"/>
  <c r="AE161" i="32"/>
  <c r="U161" i="32"/>
  <c r="AE188" i="32"/>
  <c r="U188" i="32"/>
  <c r="Z188" i="32"/>
  <c r="W161" i="32"/>
  <c r="AB161" i="32"/>
  <c r="AG161" i="32"/>
  <c r="Z180" i="32"/>
  <c r="AE180" i="32"/>
  <c r="U180" i="32"/>
  <c r="AA199" i="32"/>
  <c r="V199" i="32"/>
  <c r="AF199" i="32"/>
  <c r="AA189" i="32"/>
  <c r="V189" i="32"/>
  <c r="AF189" i="32"/>
  <c r="AE150" i="32"/>
  <c r="U150" i="32"/>
  <c r="Z150" i="32"/>
  <c r="Y171" i="32"/>
  <c r="T171" i="32"/>
  <c r="AD171" i="32"/>
  <c r="AD159" i="32"/>
  <c r="T159" i="32"/>
  <c r="Y159" i="32"/>
  <c r="AG185" i="32"/>
  <c r="W185" i="32"/>
  <c r="AB185" i="32"/>
  <c r="AE166" i="32"/>
  <c r="U166" i="32"/>
  <c r="Z166" i="32"/>
  <c r="AF181" i="32"/>
  <c r="AA181" i="32"/>
  <c r="V181" i="32"/>
  <c r="AD246" i="32"/>
  <c r="T246" i="32"/>
  <c r="Y246" i="32"/>
  <c r="V204" i="32"/>
  <c r="AF204" i="32"/>
  <c r="AA204" i="32"/>
  <c r="AE222" i="32"/>
  <c r="U222" i="32"/>
  <c r="Z222" i="32"/>
  <c r="AG238" i="32"/>
  <c r="W238" i="32"/>
  <c r="AB238" i="32"/>
  <c r="V226" i="32"/>
  <c r="AF226" i="32"/>
  <c r="AA226" i="32"/>
  <c r="AE160" i="32"/>
  <c r="U160" i="32"/>
  <c r="Z160" i="32"/>
  <c r="AD204" i="32"/>
  <c r="T204" i="32"/>
  <c r="Y204" i="32"/>
  <c r="AA223" i="32"/>
  <c r="V223" i="32"/>
  <c r="AF223" i="32"/>
  <c r="AD156" i="32"/>
  <c r="T156" i="32"/>
  <c r="Y156" i="32"/>
  <c r="AG199" i="32"/>
  <c r="W199" i="32"/>
  <c r="AB199" i="32"/>
  <c r="AG184" i="32"/>
  <c r="W184" i="32"/>
  <c r="AB184" i="32"/>
  <c r="AA245" i="32"/>
  <c r="V245" i="32"/>
  <c r="AF245" i="32"/>
  <c r="AD239" i="32"/>
  <c r="T239" i="32"/>
  <c r="Y239" i="32"/>
  <c r="Y170" i="32"/>
  <c r="T170" i="32"/>
  <c r="AD170" i="32"/>
  <c r="AE158" i="32"/>
  <c r="U158" i="32"/>
  <c r="Z158" i="32"/>
  <c r="AD183" i="32"/>
  <c r="T183" i="32"/>
  <c r="Y183" i="32"/>
  <c r="Y220" i="32"/>
  <c r="AD220" i="32"/>
  <c r="T220" i="32"/>
  <c r="AG197" i="32"/>
  <c r="W197" i="32"/>
  <c r="AB197" i="32"/>
  <c r="AG249" i="32"/>
  <c r="W249" i="32"/>
  <c r="AB249" i="32"/>
  <c r="Z176" i="32"/>
  <c r="AE176" i="32"/>
  <c r="U176" i="32"/>
  <c r="AA192" i="32"/>
  <c r="V192" i="32"/>
  <c r="AF192" i="32"/>
  <c r="Y223" i="32"/>
  <c r="T223" i="32"/>
  <c r="AD223" i="32"/>
  <c r="AD152" i="32"/>
  <c r="T152" i="32"/>
  <c r="Y152" i="32"/>
  <c r="AG157" i="32"/>
  <c r="AB157" i="32"/>
  <c r="W157" i="32"/>
  <c r="AG221" i="32"/>
  <c r="W221" i="32"/>
  <c r="AB221" i="32"/>
  <c r="Z241" i="32"/>
  <c r="U241" i="32"/>
  <c r="AE241" i="32"/>
  <c r="AE196" i="32"/>
  <c r="U196" i="32"/>
  <c r="Z196" i="32"/>
  <c r="AG216" i="32"/>
  <c r="W216" i="32"/>
  <c r="AB216" i="32"/>
  <c r="AA184" i="32"/>
  <c r="V184" i="32"/>
  <c r="AF184" i="32"/>
  <c r="Y189" i="32"/>
  <c r="AD189" i="32"/>
  <c r="T189" i="32"/>
  <c r="Z182" i="32"/>
  <c r="AE182" i="32"/>
  <c r="U182" i="32"/>
  <c r="AF167" i="32"/>
  <c r="AA167" i="32"/>
  <c r="V167" i="32"/>
  <c r="AD179" i="32"/>
  <c r="T179" i="32"/>
  <c r="Y179" i="32"/>
  <c r="AG181" i="32"/>
  <c r="W181" i="32"/>
  <c r="AB181" i="32"/>
  <c r="AD176" i="32"/>
  <c r="T176" i="32"/>
  <c r="Y176" i="32"/>
  <c r="AE197" i="32"/>
  <c r="U197" i="32"/>
  <c r="Z197" i="32"/>
  <c r="AA251" i="32"/>
  <c r="AF251" i="32"/>
  <c r="V251" i="32"/>
  <c r="AE189" i="32"/>
  <c r="U189" i="32"/>
  <c r="Z189" i="32"/>
  <c r="F79" i="31"/>
  <c r="L145" i="31"/>
  <c r="R160" i="31"/>
  <c r="Q160" i="31"/>
  <c r="I94" i="31"/>
  <c r="I115" i="31"/>
  <c r="I117" i="31" s="1"/>
  <c r="J98" i="31"/>
  <c r="O146" i="31"/>
  <c r="I91" i="31"/>
  <c r="I89" i="31"/>
  <c r="L98" i="31"/>
  <c r="I90" i="31"/>
  <c r="P144" i="31"/>
  <c r="R144" i="31"/>
  <c r="Q146" i="31"/>
  <c r="P143" i="31"/>
  <c r="K98" i="31"/>
  <c r="K117" i="31"/>
  <c r="O160" i="31"/>
  <c r="L117" i="31"/>
  <c r="L129" i="31"/>
  <c r="Q145" i="31"/>
  <c r="G80" i="31"/>
  <c r="O144" i="31"/>
  <c r="P146" i="31"/>
  <c r="R146" i="31"/>
  <c r="L146" i="31"/>
  <c r="L114" i="30"/>
  <c r="L109" i="30"/>
  <c r="L115" i="30"/>
  <c r="L111" i="30"/>
  <c r="L89" i="30"/>
  <c r="L95" i="30"/>
  <c r="L90" i="30"/>
  <c r="L97" i="30"/>
  <c r="L108" i="30"/>
  <c r="L91" i="30"/>
  <c r="L113" i="30"/>
  <c r="R145" i="30"/>
  <c r="R157" i="30" s="1"/>
  <c r="Q145" i="30"/>
  <c r="Q157" i="30" s="1"/>
  <c r="Q144" i="30"/>
  <c r="Q156" i="30" s="1"/>
  <c r="O145" i="30"/>
  <c r="O153" i="30" s="1"/>
  <c r="P146" i="30"/>
  <c r="P158" i="30" s="1"/>
  <c r="Q143" i="30"/>
  <c r="Q155" i="30" s="1"/>
  <c r="R144" i="30"/>
  <c r="R156" i="30" s="1"/>
  <c r="G67" i="30"/>
  <c r="R111" i="30"/>
  <c r="G62" i="30" s="1"/>
  <c r="D70" i="30"/>
  <c r="D79" i="30" s="1"/>
  <c r="O114" i="30"/>
  <c r="D65" i="30" s="1"/>
  <c r="A70" i="30" s="1"/>
  <c r="P144" i="30"/>
  <c r="P156" i="30" s="1"/>
  <c r="P53" i="30"/>
  <c r="P60" i="30" s="1"/>
  <c r="E60" i="30"/>
  <c r="O120" i="30"/>
  <c r="E68" i="30"/>
  <c r="P112" i="30"/>
  <c r="E63" i="30" s="1"/>
  <c r="K97" i="30"/>
  <c r="K95" i="30"/>
  <c r="K116" i="30"/>
  <c r="K111" i="30"/>
  <c r="K109" i="30"/>
  <c r="K96" i="30"/>
  <c r="K94" i="30"/>
  <c r="K91" i="30"/>
  <c r="K90" i="30"/>
  <c r="K89" i="30"/>
  <c r="K98" i="30" s="1"/>
  <c r="K88" i="30"/>
  <c r="K115" i="30"/>
  <c r="K114" i="30"/>
  <c r="K113" i="30"/>
  <c r="K110" i="30"/>
  <c r="K108" i="30"/>
  <c r="J98" i="30"/>
  <c r="O143" i="30"/>
  <c r="O155" i="30" s="1"/>
  <c r="E69" i="30"/>
  <c r="P113" i="30"/>
  <c r="E64" i="30" s="1"/>
  <c r="F68" i="30"/>
  <c r="Q112" i="30"/>
  <c r="F63" i="30" s="1"/>
  <c r="L130" i="30"/>
  <c r="L98" i="30"/>
  <c r="Q53" i="30"/>
  <c r="Q60" i="30" s="1"/>
  <c r="F60" i="30"/>
  <c r="R112" i="30"/>
  <c r="G63" i="30" s="1"/>
  <c r="G68" i="30"/>
  <c r="F69" i="30"/>
  <c r="Q113" i="30"/>
  <c r="F64" i="30" s="1"/>
  <c r="R114" i="30"/>
  <c r="G65" i="30" s="1"/>
  <c r="G70" i="30"/>
  <c r="G79" i="30" s="1"/>
  <c r="P143" i="30"/>
  <c r="P155" i="30" s="1"/>
  <c r="P114" i="30"/>
  <c r="E65" i="30" s="1"/>
  <c r="E70" i="30"/>
  <c r="E79" i="30" s="1"/>
  <c r="L129" i="30"/>
  <c r="R113" i="30"/>
  <c r="G64" i="30" s="1"/>
  <c r="G69" i="30"/>
  <c r="O111" i="30"/>
  <c r="D62" i="30" s="1"/>
  <c r="D67" i="30"/>
  <c r="D81" i="30" s="1"/>
  <c r="Q114" i="30"/>
  <c r="F65" i="30" s="1"/>
  <c r="F70" i="30"/>
  <c r="F79" i="30" s="1"/>
  <c r="L128" i="30"/>
  <c r="Q120" i="30"/>
  <c r="L131" i="30"/>
  <c r="R120" i="30"/>
  <c r="D68" i="30"/>
  <c r="O112" i="30"/>
  <c r="D63" i="30" s="1"/>
  <c r="O118" i="30"/>
  <c r="L119" i="30" s="1"/>
  <c r="P111" i="30"/>
  <c r="E62" i="30" s="1"/>
  <c r="E67" i="30"/>
  <c r="E81" i="30" s="1"/>
  <c r="I98" i="30"/>
  <c r="O53" i="30"/>
  <c r="O60" i="30" s="1"/>
  <c r="D60" i="30"/>
  <c r="R117" i="30"/>
  <c r="D69" i="30"/>
  <c r="O113" i="30"/>
  <c r="D64" i="30" s="1"/>
  <c r="P145" i="30"/>
  <c r="P157" i="30" s="1"/>
  <c r="F67" i="30"/>
  <c r="F81" i="30" s="1"/>
  <c r="Q111" i="30"/>
  <c r="F62" i="30" s="1"/>
  <c r="AD148" i="15"/>
  <c r="T148" i="15"/>
  <c r="Y148" i="15"/>
  <c r="Y176" i="15"/>
  <c r="AD176" i="15"/>
  <c r="AA212" i="15"/>
  <c r="AF212" i="15"/>
  <c r="V212" i="15"/>
  <c r="AE212" i="15"/>
  <c r="U212" i="15"/>
  <c r="Z212" i="15"/>
  <c r="W212" i="15"/>
  <c r="AB212" i="15"/>
  <c r="AG212" i="15"/>
  <c r="AD212" i="15"/>
  <c r="Y212" i="15"/>
  <c r="T212" i="15"/>
  <c r="V188" i="15"/>
  <c r="V196" i="15"/>
  <c r="AF196" i="15"/>
  <c r="AF188" i="15"/>
  <c r="AA192" i="15"/>
  <c r="Z184" i="15"/>
  <c r="U184" i="15"/>
  <c r="V176" i="15"/>
  <c r="AF180" i="15"/>
  <c r="V180" i="15"/>
  <c r="V192" i="15"/>
  <c r="AB196" i="15"/>
  <c r="AG196" i="15"/>
  <c r="AG184" i="15"/>
  <c r="AB184" i="15"/>
  <c r="W184" i="15"/>
  <c r="AG176" i="15"/>
  <c r="W176" i="15"/>
  <c r="AB176" i="15"/>
  <c r="AA176" i="15"/>
  <c r="AE176" i="15"/>
  <c r="Z176" i="15"/>
  <c r="U176" i="15"/>
  <c r="Z196" i="15"/>
  <c r="U196" i="15"/>
  <c r="AE196" i="15"/>
  <c r="AE192" i="15"/>
  <c r="Z192" i="15"/>
  <c r="U192" i="15"/>
  <c r="AG192" i="15"/>
  <c r="AB192" i="15"/>
  <c r="W192" i="15"/>
  <c r="Z188" i="15"/>
  <c r="U188" i="15"/>
  <c r="AE188" i="15"/>
  <c r="AB188" i="15"/>
  <c r="W188" i="15"/>
  <c r="AG188" i="15"/>
  <c r="AF184" i="15"/>
  <c r="AA184" i="15"/>
  <c r="V184" i="15"/>
  <c r="AB180" i="15"/>
  <c r="W180" i="15"/>
  <c r="AG180" i="15"/>
  <c r="Z180" i="15"/>
  <c r="U180" i="15"/>
  <c r="AE180" i="15"/>
  <c r="U164" i="15"/>
  <c r="Z164" i="15"/>
  <c r="Q161" i="31" l="1"/>
  <c r="O162" i="31"/>
  <c r="P162" i="31"/>
  <c r="R161" i="31"/>
  <c r="I98" i="31"/>
  <c r="L144" i="31"/>
  <c r="O163" i="31"/>
  <c r="R162" i="31"/>
  <c r="A71" i="30"/>
  <c r="O149" i="30"/>
  <c r="Q152" i="30"/>
  <c r="E80" i="30"/>
  <c r="Q148" i="30"/>
  <c r="Q161" i="30" s="1"/>
  <c r="P152" i="30"/>
  <c r="F80" i="30"/>
  <c r="D80" i="30"/>
  <c r="Q149" i="30"/>
  <c r="O144" i="30"/>
  <c r="P150" i="30"/>
  <c r="R152" i="30"/>
  <c r="R143" i="30"/>
  <c r="R147" i="30" s="1"/>
  <c r="O151" i="30"/>
  <c r="O146" i="30"/>
  <c r="L145" i="30"/>
  <c r="O157" i="30"/>
  <c r="O162" i="30" s="1"/>
  <c r="Q151" i="30"/>
  <c r="Q146" i="30"/>
  <c r="Q150" i="30" s="1"/>
  <c r="P151" i="30"/>
  <c r="O147" i="30"/>
  <c r="R148" i="30"/>
  <c r="P154" i="30"/>
  <c r="R146" i="30"/>
  <c r="Q153" i="30"/>
  <c r="P153" i="30"/>
  <c r="P149" i="30"/>
  <c r="P147" i="30"/>
  <c r="G80" i="30"/>
  <c r="R153" i="30"/>
  <c r="P148" i="30"/>
  <c r="Q147" i="30"/>
  <c r="R149" i="30"/>
  <c r="R66" i="13"/>
  <c r="Q66" i="13"/>
  <c r="Q67" i="13"/>
  <c r="R67" i="13" s="1"/>
  <c r="Q69" i="13"/>
  <c r="Q68" i="13"/>
  <c r="R68" i="13" s="1"/>
  <c r="U68" i="13"/>
  <c r="S68" i="13"/>
  <c r="S67" i="13"/>
  <c r="U67" i="13"/>
  <c r="T67" i="13"/>
  <c r="P69" i="13"/>
  <c r="R69" i="13"/>
  <c r="P160" i="30" l="1"/>
  <c r="Q160" i="30"/>
  <c r="P163" i="31"/>
  <c r="P160" i="31"/>
  <c r="Q162" i="31"/>
  <c r="Q163" i="31"/>
  <c r="O161" i="31"/>
  <c r="P161" i="31"/>
  <c r="R163" i="31"/>
  <c r="P161" i="30"/>
  <c r="R161" i="30"/>
  <c r="R158" i="30"/>
  <c r="R154" i="30"/>
  <c r="P163" i="30"/>
  <c r="P162" i="30"/>
  <c r="L146" i="30"/>
  <c r="O158" i="30"/>
  <c r="O154" i="30"/>
  <c r="L144" i="30"/>
  <c r="O156" i="30"/>
  <c r="O152" i="30"/>
  <c r="Q158" i="30"/>
  <c r="Q154" i="30"/>
  <c r="Q163" i="30" s="1"/>
  <c r="R155" i="30"/>
  <c r="R151" i="30"/>
  <c r="R160" i="30" s="1"/>
  <c r="O160" i="30"/>
  <c r="O150" i="30"/>
  <c r="O148" i="30"/>
  <c r="R150" i="30"/>
  <c r="R163" i="30" s="1"/>
  <c r="R162" i="30"/>
  <c r="Q162" i="30"/>
  <c r="O161" i="30" l="1"/>
  <c r="O163" i="30"/>
  <c r="N178" i="13" l="1"/>
  <c r="N177" i="13"/>
  <c r="N176" i="13"/>
  <c r="N173" i="13"/>
  <c r="N172" i="13"/>
  <c r="N171" i="13"/>
  <c r="O171" i="13" s="1"/>
  <c r="I96" i="13"/>
  <c r="I95" i="13"/>
  <c r="I94" i="13"/>
  <c r="O177" i="13"/>
  <c r="O178" i="13"/>
  <c r="O176" i="13"/>
  <c r="O172" i="13"/>
  <c r="O173" i="13"/>
  <c r="K176" i="13"/>
  <c r="I26" i="13"/>
  <c r="L173" i="13"/>
  <c r="L172" i="13"/>
  <c r="L171" i="13"/>
  <c r="L168" i="13"/>
  <c r="L161" i="13"/>
  <c r="L162" i="13"/>
  <c r="L163" i="13"/>
  <c r="L164" i="13"/>
  <c r="L165" i="13"/>
  <c r="L166" i="13"/>
  <c r="L160" i="13"/>
  <c r="Q41" i="1"/>
  <c r="Q42" i="1"/>
  <c r="Q43" i="1"/>
  <c r="Q44" i="1"/>
  <c r="Q45" i="1"/>
  <c r="Q46" i="1"/>
  <c r="Q40" i="1"/>
  <c r="J168" i="13"/>
  <c r="J30" i="13"/>
  <c r="K30" i="13"/>
  <c r="L30" i="13"/>
  <c r="J31" i="13"/>
  <c r="K31" i="13"/>
  <c r="L31" i="13"/>
  <c r="J32" i="13"/>
  <c r="K32" i="13"/>
  <c r="L32" i="13"/>
  <c r="J33" i="13"/>
  <c r="K33" i="13"/>
  <c r="L33" i="13"/>
  <c r="J34" i="13"/>
  <c r="K34" i="13"/>
  <c r="L34" i="13"/>
  <c r="J35" i="13"/>
  <c r="K35" i="13"/>
  <c r="L35" i="13"/>
  <c r="J36" i="13"/>
  <c r="K36" i="13"/>
  <c r="L36" i="13"/>
  <c r="J37" i="13"/>
  <c r="K37" i="13"/>
  <c r="L37" i="13"/>
  <c r="J38" i="13"/>
  <c r="K38" i="13"/>
  <c r="L38" i="13"/>
  <c r="J39" i="13"/>
  <c r="K39" i="13"/>
  <c r="L39" i="13"/>
  <c r="J40" i="13"/>
  <c r="K40" i="13"/>
  <c r="L40" i="13"/>
  <c r="J41" i="13"/>
  <c r="K41" i="13"/>
  <c r="L41" i="13"/>
  <c r="J42" i="13"/>
  <c r="K42" i="13"/>
  <c r="L42" i="13"/>
  <c r="J43" i="13"/>
  <c r="K43" i="13"/>
  <c r="L43" i="13"/>
  <c r="J44" i="13"/>
  <c r="K44" i="13"/>
  <c r="L44" i="13"/>
  <c r="J45" i="13"/>
  <c r="K45" i="13"/>
  <c r="L45" i="13"/>
  <c r="I31" i="13"/>
  <c r="I32" i="13"/>
  <c r="I33" i="13"/>
  <c r="I34" i="13"/>
  <c r="I35" i="13"/>
  <c r="I36" i="13"/>
  <c r="I37" i="13"/>
  <c r="I38" i="13"/>
  <c r="I39" i="13"/>
  <c r="I40" i="13"/>
  <c r="I41" i="13"/>
  <c r="I42" i="13"/>
  <c r="I43" i="13"/>
  <c r="I44" i="13"/>
  <c r="I45" i="13"/>
  <c r="I30" i="13"/>
  <c r="J23" i="13"/>
  <c r="K23" i="13"/>
  <c r="L23" i="13"/>
  <c r="J24" i="13"/>
  <c r="K24" i="13"/>
  <c r="L24" i="13"/>
  <c r="J25" i="13"/>
  <c r="K25" i="13"/>
  <c r="L25" i="13"/>
  <c r="J26" i="13"/>
  <c r="K26" i="13"/>
  <c r="L26" i="13"/>
  <c r="J27" i="13"/>
  <c r="K27" i="13"/>
  <c r="L27" i="13"/>
  <c r="I24" i="13"/>
  <c r="I25" i="13"/>
  <c r="I27" i="13"/>
  <c r="I23" i="13"/>
  <c r="K67" i="13"/>
  <c r="K66" i="13"/>
  <c r="K65" i="13"/>
  <c r="K64" i="13"/>
  <c r="K63" i="13"/>
  <c r="K62" i="13"/>
  <c r="K69" i="13" l="1"/>
  <c r="AY49" i="13" l="1"/>
  <c r="AV49" i="13"/>
  <c r="AY48" i="13"/>
  <c r="AV48" i="13"/>
  <c r="AV47" i="13"/>
  <c r="BB55" i="13"/>
  <c r="BB54" i="13"/>
  <c r="AT57" i="13"/>
  <c r="V104" i="13"/>
  <c r="V103" i="13"/>
  <c r="U84" i="13"/>
  <c r="M29" i="15" l="1"/>
  <c r="N29" i="15"/>
  <c r="O29" i="15"/>
  <c r="L29" i="15"/>
  <c r="P30" i="13" l="1"/>
  <c r="Q30" i="13"/>
  <c r="R30" i="13"/>
  <c r="P31" i="13"/>
  <c r="Q31" i="13"/>
  <c r="R31" i="13"/>
  <c r="P32" i="13"/>
  <c r="Q32" i="13"/>
  <c r="R32" i="13"/>
  <c r="P33" i="13"/>
  <c r="Q33" i="13"/>
  <c r="R33" i="13"/>
  <c r="P34" i="13"/>
  <c r="Q34" i="13"/>
  <c r="R34" i="13"/>
  <c r="P35" i="13"/>
  <c r="Q35" i="13"/>
  <c r="R35" i="13"/>
  <c r="P36" i="13"/>
  <c r="Q36" i="13"/>
  <c r="R36" i="13"/>
  <c r="P37" i="13"/>
  <c r="Q37" i="13"/>
  <c r="R37" i="13"/>
  <c r="P38" i="13"/>
  <c r="Q38" i="13"/>
  <c r="R38" i="13"/>
  <c r="P39" i="13"/>
  <c r="Q39" i="13"/>
  <c r="R39" i="13"/>
  <c r="P40" i="13"/>
  <c r="Q40" i="13"/>
  <c r="R40" i="13"/>
  <c r="P41" i="13"/>
  <c r="Q41" i="13"/>
  <c r="R41" i="13"/>
  <c r="P42" i="13"/>
  <c r="Q42" i="13"/>
  <c r="R42" i="13"/>
  <c r="P43" i="13"/>
  <c r="Q43" i="13"/>
  <c r="R43" i="13"/>
  <c r="P44" i="13"/>
  <c r="Q44" i="13"/>
  <c r="R44" i="13"/>
  <c r="P45" i="13"/>
  <c r="Q45" i="13"/>
  <c r="R45" i="13"/>
  <c r="O31" i="13"/>
  <c r="O32" i="13"/>
  <c r="O33" i="13"/>
  <c r="O34" i="13"/>
  <c r="O35" i="13"/>
  <c r="O36" i="13"/>
  <c r="O37" i="13"/>
  <c r="O38" i="13"/>
  <c r="O39" i="13"/>
  <c r="O40" i="13"/>
  <c r="O41" i="13"/>
  <c r="O42" i="13"/>
  <c r="O43" i="13"/>
  <c r="O44" i="13"/>
  <c r="O45" i="13"/>
  <c r="O30" i="13"/>
  <c r="P23" i="13"/>
  <c r="Q23" i="13"/>
  <c r="R23" i="13"/>
  <c r="P24" i="13"/>
  <c r="Q24" i="13"/>
  <c r="R24" i="13"/>
  <c r="P25" i="13"/>
  <c r="Q25" i="13"/>
  <c r="R25" i="13"/>
  <c r="P26" i="13"/>
  <c r="Q26" i="13"/>
  <c r="R26" i="13"/>
  <c r="P27" i="13"/>
  <c r="Q27" i="13"/>
  <c r="R27" i="13"/>
  <c r="O24" i="13"/>
  <c r="O25" i="13"/>
  <c r="O26" i="13"/>
  <c r="O27" i="13"/>
  <c r="O23" i="13"/>
  <c r="O14" i="13"/>
  <c r="P20" i="13"/>
  <c r="Q20" i="13"/>
  <c r="R20" i="13"/>
  <c r="O20" i="13"/>
  <c r="G26" i="13"/>
  <c r="F26" i="13"/>
  <c r="E26" i="13"/>
  <c r="D26" i="13"/>
  <c r="D22" i="1"/>
  <c r="E22" i="1"/>
  <c r="F22" i="1"/>
  <c r="G22" i="1"/>
  <c r="H22" i="1"/>
  <c r="I22" i="1"/>
  <c r="C22" i="1"/>
  <c r="B20" i="1"/>
  <c r="B21" i="1"/>
  <c r="B22" i="1" s="1"/>
  <c r="J24" i="17"/>
  <c r="J26" i="17"/>
  <c r="J27" i="17"/>
  <c r="I22" i="17"/>
  <c r="J22" i="17" s="1"/>
  <c r="I23" i="17"/>
  <c r="J23" i="17" s="1"/>
  <c r="I24" i="17"/>
  <c r="I25" i="17"/>
  <c r="J25" i="17" s="1"/>
  <c r="I26" i="17"/>
  <c r="I27" i="17"/>
  <c r="I21" i="17"/>
  <c r="J21" i="17" s="1"/>
  <c r="E32" i="17"/>
  <c r="S59" i="9"/>
  <c r="S57" i="9"/>
  <c r="S55" i="9"/>
  <c r="S54" i="9"/>
  <c r="R54" i="9"/>
  <c r="R55" i="9"/>
  <c r="R56" i="9"/>
  <c r="R57" i="9"/>
  <c r="R58" i="9"/>
  <c r="R59" i="9"/>
  <c r="R53" i="9"/>
  <c r="F52" i="17"/>
  <c r="E52" i="17"/>
  <c r="D52" i="17"/>
  <c r="C52" i="17"/>
  <c r="E30" i="17"/>
  <c r="D30" i="17"/>
  <c r="C30" i="17"/>
  <c r="B30" i="17"/>
  <c r="E29" i="17"/>
  <c r="D29" i="17"/>
  <c r="C29" i="17"/>
  <c r="B29" i="17"/>
  <c r="G27" i="17"/>
  <c r="B44" i="17" s="1"/>
  <c r="G26" i="17"/>
  <c r="B43" i="17" s="1"/>
  <c r="G25" i="17"/>
  <c r="B42" i="17" s="1"/>
  <c r="G24" i="17"/>
  <c r="B41" i="17" s="1"/>
  <c r="G23" i="17"/>
  <c r="B40" i="17" s="1"/>
  <c r="G22" i="17"/>
  <c r="B39" i="17" s="1"/>
  <c r="G21" i="17"/>
  <c r="B38" i="17" s="1"/>
  <c r="G29" i="17" l="1"/>
  <c r="B46" i="17"/>
  <c r="B47" i="17" s="1"/>
  <c r="P26" i="7" l="1"/>
  <c r="P25" i="7"/>
  <c r="P24" i="7"/>
  <c r="P23" i="7"/>
  <c r="P22" i="7"/>
  <c r="P21" i="7"/>
  <c r="P20" i="7"/>
  <c r="P19" i="7"/>
  <c r="P18" i="7"/>
  <c r="P17" i="7"/>
  <c r="P16" i="7"/>
  <c r="P15" i="7"/>
  <c r="P14" i="7"/>
  <c r="P13" i="7"/>
  <c r="P12" i="7"/>
  <c r="P11" i="7"/>
  <c r="P10" i="7"/>
  <c r="P9" i="7"/>
  <c r="P6" i="7"/>
  <c r="P7" i="7"/>
  <c r="P8" i="7"/>
  <c r="F5" i="13"/>
  <c r="F6" i="13" s="1"/>
  <c r="G5" i="13"/>
  <c r="G6" i="13" s="1"/>
  <c r="E2" i="13"/>
  <c r="E5" i="13" s="1"/>
  <c r="E6" i="13" s="1"/>
  <c r="F2" i="13"/>
  <c r="G2" i="13"/>
  <c r="D2" i="13"/>
  <c r="E4" i="13"/>
  <c r="F4" i="13"/>
  <c r="G4" i="13"/>
  <c r="D5" i="13"/>
  <c r="D6" i="13" s="1"/>
  <c r="D4" i="13"/>
  <c r="K139" i="13" l="1"/>
  <c r="K135" i="13"/>
  <c r="K131" i="13"/>
  <c r="K129" i="13"/>
  <c r="K130" i="13"/>
  <c r="K128" i="13"/>
  <c r="K126" i="13"/>
  <c r="K122" i="13"/>
  <c r="O48" i="13"/>
  <c r="L126" i="13"/>
  <c r="K129" i="15"/>
  <c r="P129" i="15" s="1"/>
  <c r="P197" i="15" s="1"/>
  <c r="L129" i="15"/>
  <c r="Q129" i="15" s="1"/>
  <c r="Q197" i="15" s="1"/>
  <c r="M129" i="15"/>
  <c r="R129" i="15" s="1"/>
  <c r="R197" i="15" s="1"/>
  <c r="K130" i="15"/>
  <c r="P130" i="15" s="1"/>
  <c r="P198" i="15" s="1"/>
  <c r="L130" i="15"/>
  <c r="Q130" i="15" s="1"/>
  <c r="Q198" i="15" s="1"/>
  <c r="M130" i="15"/>
  <c r="R130" i="15" s="1"/>
  <c r="R198" i="15" s="1"/>
  <c r="K131" i="15"/>
  <c r="P131" i="15" s="1"/>
  <c r="P199" i="15" s="1"/>
  <c r="L131" i="15"/>
  <c r="Q131" i="15" s="1"/>
  <c r="Q199" i="15" s="1"/>
  <c r="M131" i="15"/>
  <c r="R131" i="15" s="1"/>
  <c r="R199" i="15" s="1"/>
  <c r="J130" i="15"/>
  <c r="O130" i="15" s="1"/>
  <c r="O198" i="15" s="1"/>
  <c r="J131" i="15"/>
  <c r="O131" i="15" s="1"/>
  <c r="O199" i="15" s="1"/>
  <c r="J129" i="15"/>
  <c r="O129" i="15" s="1"/>
  <c r="K125" i="15"/>
  <c r="P125" i="15" s="1"/>
  <c r="P193" i="15" s="1"/>
  <c r="L125" i="15"/>
  <c r="Q125" i="15" s="1"/>
  <c r="Q193" i="15" s="1"/>
  <c r="M125" i="15"/>
  <c r="R125" i="15" s="1"/>
  <c r="R193" i="15" s="1"/>
  <c r="K126" i="15"/>
  <c r="P126" i="15" s="1"/>
  <c r="P194" i="15" s="1"/>
  <c r="L126" i="15"/>
  <c r="Q126" i="15" s="1"/>
  <c r="Q194" i="15" s="1"/>
  <c r="M126" i="15"/>
  <c r="R126" i="15" s="1"/>
  <c r="R194" i="15" s="1"/>
  <c r="K127" i="15"/>
  <c r="P127" i="15" s="1"/>
  <c r="P195" i="15" s="1"/>
  <c r="L127" i="15"/>
  <c r="Q127" i="15" s="1"/>
  <c r="Q195" i="15" s="1"/>
  <c r="M127" i="15"/>
  <c r="R127" i="15" s="1"/>
  <c r="R195" i="15" s="1"/>
  <c r="J126" i="15"/>
  <c r="O126" i="15" s="1"/>
  <c r="O194" i="15" s="1"/>
  <c r="J127" i="15"/>
  <c r="O127" i="15" s="1"/>
  <c r="O195" i="15" s="1"/>
  <c r="J125" i="15"/>
  <c r="O125" i="15" s="1"/>
  <c r="K121" i="15"/>
  <c r="P121" i="15" s="1"/>
  <c r="P189" i="15" s="1"/>
  <c r="L121" i="15"/>
  <c r="Q121" i="15" s="1"/>
  <c r="Q189" i="15" s="1"/>
  <c r="M121" i="15"/>
  <c r="R121" i="15" s="1"/>
  <c r="R189" i="15" s="1"/>
  <c r="K122" i="15"/>
  <c r="P122" i="15" s="1"/>
  <c r="P190" i="15" s="1"/>
  <c r="L122" i="15"/>
  <c r="Q122" i="15" s="1"/>
  <c r="Q190" i="15" s="1"/>
  <c r="M122" i="15"/>
  <c r="R122" i="15" s="1"/>
  <c r="R190" i="15" s="1"/>
  <c r="K123" i="15"/>
  <c r="P123" i="15" s="1"/>
  <c r="P191" i="15" s="1"/>
  <c r="L123" i="15"/>
  <c r="Q123" i="15" s="1"/>
  <c r="Q191" i="15" s="1"/>
  <c r="M123" i="15"/>
  <c r="R123" i="15" s="1"/>
  <c r="R191" i="15" s="1"/>
  <c r="J122" i="15"/>
  <c r="O122" i="15" s="1"/>
  <c r="O190" i="15" s="1"/>
  <c r="J123" i="15"/>
  <c r="O123" i="15" s="1"/>
  <c r="O191" i="15" s="1"/>
  <c r="J121" i="15"/>
  <c r="O121" i="15" s="1"/>
  <c r="K117" i="15"/>
  <c r="P117" i="15" s="1"/>
  <c r="P185" i="15" s="1"/>
  <c r="L117" i="15"/>
  <c r="Q117" i="15" s="1"/>
  <c r="Q185" i="15" s="1"/>
  <c r="M117" i="15"/>
  <c r="R117" i="15" s="1"/>
  <c r="R185" i="15" s="1"/>
  <c r="K118" i="15"/>
  <c r="P118" i="15" s="1"/>
  <c r="P186" i="15" s="1"/>
  <c r="L118" i="15"/>
  <c r="Q118" i="15" s="1"/>
  <c r="Q186" i="15" s="1"/>
  <c r="M118" i="15"/>
  <c r="R118" i="15" s="1"/>
  <c r="R186" i="15" s="1"/>
  <c r="K119" i="15"/>
  <c r="P119" i="15" s="1"/>
  <c r="P187" i="15" s="1"/>
  <c r="L119" i="15"/>
  <c r="Q119" i="15" s="1"/>
  <c r="Q187" i="15" s="1"/>
  <c r="M119" i="15"/>
  <c r="R119" i="15" s="1"/>
  <c r="R187" i="15" s="1"/>
  <c r="J118" i="15"/>
  <c r="O118" i="15" s="1"/>
  <c r="O186" i="15" s="1"/>
  <c r="J119" i="15"/>
  <c r="O119" i="15" s="1"/>
  <c r="O187" i="15" s="1"/>
  <c r="J117" i="15"/>
  <c r="O117" i="15" s="1"/>
  <c r="K113" i="15"/>
  <c r="P113" i="15" s="1"/>
  <c r="P181" i="15" s="1"/>
  <c r="L113" i="15"/>
  <c r="Q113" i="15" s="1"/>
  <c r="Q181" i="15" s="1"/>
  <c r="M113" i="15"/>
  <c r="R113" i="15" s="1"/>
  <c r="R181" i="15" s="1"/>
  <c r="K114" i="15"/>
  <c r="P114" i="15" s="1"/>
  <c r="P182" i="15" s="1"/>
  <c r="L114" i="15"/>
  <c r="Q114" i="15" s="1"/>
  <c r="Q182" i="15" s="1"/>
  <c r="M114" i="15"/>
  <c r="R114" i="15" s="1"/>
  <c r="R182" i="15" s="1"/>
  <c r="K115" i="15"/>
  <c r="P115" i="15" s="1"/>
  <c r="L115" i="15"/>
  <c r="Q115" i="15" s="1"/>
  <c r="M115" i="15"/>
  <c r="R115" i="15" s="1"/>
  <c r="J114" i="15"/>
  <c r="O114" i="15" s="1"/>
  <c r="O182" i="15" s="1"/>
  <c r="T182" i="15" s="1"/>
  <c r="J115" i="15"/>
  <c r="O115" i="15" s="1"/>
  <c r="J113" i="15"/>
  <c r="O113" i="15" s="1"/>
  <c r="P109" i="15"/>
  <c r="Q109" i="15"/>
  <c r="R109" i="15"/>
  <c r="P110" i="15"/>
  <c r="P178" i="15" s="1"/>
  <c r="Q110" i="15"/>
  <c r="Q178" i="15" s="1"/>
  <c r="R110" i="15"/>
  <c r="R178" i="15" s="1"/>
  <c r="P111" i="15"/>
  <c r="P179" i="15" s="1"/>
  <c r="Q111" i="15"/>
  <c r="Q179" i="15" s="1"/>
  <c r="R111" i="15"/>
  <c r="R179" i="15" s="1"/>
  <c r="J110" i="15"/>
  <c r="O110" i="15" s="1"/>
  <c r="O178" i="15" s="1"/>
  <c r="T178" i="15" s="1"/>
  <c r="J111" i="15"/>
  <c r="O111" i="15" s="1"/>
  <c r="O179" i="15" s="1"/>
  <c r="T179" i="15" s="1"/>
  <c r="J109" i="15"/>
  <c r="O109" i="15" s="1"/>
  <c r="K91" i="15"/>
  <c r="L91" i="15"/>
  <c r="M91" i="15"/>
  <c r="K92" i="15"/>
  <c r="L92" i="15"/>
  <c r="M92" i="15"/>
  <c r="K93" i="15"/>
  <c r="L93" i="15"/>
  <c r="M93" i="15"/>
  <c r="J92" i="15"/>
  <c r="J93" i="15"/>
  <c r="O93" i="15" s="1"/>
  <c r="J91" i="15"/>
  <c r="K87" i="15"/>
  <c r="L87" i="15"/>
  <c r="M87" i="15"/>
  <c r="K88" i="15"/>
  <c r="L88" i="15"/>
  <c r="M88" i="15"/>
  <c r="K89" i="15"/>
  <c r="L89" i="15"/>
  <c r="M89" i="15"/>
  <c r="J88" i="15"/>
  <c r="J89" i="15"/>
  <c r="J87" i="15"/>
  <c r="K79" i="15"/>
  <c r="L79" i="15"/>
  <c r="M79" i="15"/>
  <c r="K80" i="15"/>
  <c r="L80" i="15"/>
  <c r="M80" i="15"/>
  <c r="K81" i="15"/>
  <c r="L81" i="15"/>
  <c r="M81" i="15"/>
  <c r="J80" i="15"/>
  <c r="J81" i="15"/>
  <c r="J79" i="15"/>
  <c r="K95" i="15"/>
  <c r="L95" i="15"/>
  <c r="M95" i="15"/>
  <c r="K96" i="15"/>
  <c r="L96" i="15"/>
  <c r="M96" i="15"/>
  <c r="K97" i="15"/>
  <c r="L97" i="15"/>
  <c r="M97" i="15"/>
  <c r="J96" i="15"/>
  <c r="J97" i="15"/>
  <c r="J95" i="15"/>
  <c r="E92" i="15"/>
  <c r="F96" i="15"/>
  <c r="G96" i="15"/>
  <c r="H96" i="15"/>
  <c r="F97" i="15"/>
  <c r="G97" i="15"/>
  <c r="AF197" i="15" s="1"/>
  <c r="H97" i="15"/>
  <c r="E97" i="15"/>
  <c r="E96" i="15"/>
  <c r="F92" i="15"/>
  <c r="G92" i="15"/>
  <c r="H92" i="15"/>
  <c r="R91" i="15" s="1"/>
  <c r="F93" i="15"/>
  <c r="G93" i="15"/>
  <c r="H93" i="15"/>
  <c r="E93" i="15"/>
  <c r="F88" i="15"/>
  <c r="P89" i="15" s="1"/>
  <c r="G88" i="15"/>
  <c r="H88" i="15"/>
  <c r="F89" i="15"/>
  <c r="G89" i="15"/>
  <c r="H89" i="15"/>
  <c r="E89" i="15"/>
  <c r="E88" i="15"/>
  <c r="F84" i="15"/>
  <c r="G84" i="15"/>
  <c r="H84" i="15"/>
  <c r="R83" i="15" s="1"/>
  <c r="R240" i="15" s="1"/>
  <c r="F85" i="15"/>
  <c r="G85" i="15"/>
  <c r="H85" i="15"/>
  <c r="E85" i="15"/>
  <c r="E84" i="15"/>
  <c r="O85" i="15" s="1"/>
  <c r="O242" i="15" s="1"/>
  <c r="F81" i="15"/>
  <c r="G81" i="15"/>
  <c r="H81" i="15"/>
  <c r="E81" i="15"/>
  <c r="F80" i="15"/>
  <c r="G80" i="15"/>
  <c r="Q79" i="15" s="1"/>
  <c r="H80" i="15"/>
  <c r="E80" i="15"/>
  <c r="F77" i="15"/>
  <c r="G77" i="15"/>
  <c r="H77" i="15"/>
  <c r="E77" i="15"/>
  <c r="F76" i="15"/>
  <c r="G76" i="15"/>
  <c r="H76" i="15"/>
  <c r="E76" i="15"/>
  <c r="AK79" i="15" l="1"/>
  <c r="Q209" i="15"/>
  <c r="AL83" i="15"/>
  <c r="R213" i="15"/>
  <c r="AJ89" i="15"/>
  <c r="P219" i="15"/>
  <c r="AE219" i="15" s="1"/>
  <c r="AI85" i="15"/>
  <c r="O215" i="15"/>
  <c r="AD215" i="15" s="1"/>
  <c r="AL91" i="15"/>
  <c r="R221" i="15"/>
  <c r="AI93" i="15"/>
  <c r="O223" i="15"/>
  <c r="AK115" i="15"/>
  <c r="Q183" i="15"/>
  <c r="AL115" i="15"/>
  <c r="R183" i="15"/>
  <c r="AL109" i="15"/>
  <c r="R177" i="15"/>
  <c r="AK109" i="15"/>
  <c r="Q177" i="15"/>
  <c r="AJ115" i="15"/>
  <c r="P183" i="15"/>
  <c r="AJ109" i="15"/>
  <c r="P177" i="15"/>
  <c r="AI115" i="15"/>
  <c r="O183" i="15"/>
  <c r="O163" i="15"/>
  <c r="AI123" i="15"/>
  <c r="AL129" i="15"/>
  <c r="R169" i="15"/>
  <c r="R150" i="15"/>
  <c r="AL110" i="15"/>
  <c r="O162" i="15"/>
  <c r="AI122" i="15"/>
  <c r="R166" i="15"/>
  <c r="AL126" i="15"/>
  <c r="AI130" i="15"/>
  <c r="O170" i="15"/>
  <c r="Q150" i="15"/>
  <c r="AK110" i="15"/>
  <c r="Q158" i="15"/>
  <c r="AK118" i="15"/>
  <c r="R163" i="15"/>
  <c r="AL123" i="15"/>
  <c r="Q166" i="15"/>
  <c r="AK126" i="15"/>
  <c r="AL131" i="15"/>
  <c r="R171" i="15"/>
  <c r="P150" i="15"/>
  <c r="AJ110" i="15"/>
  <c r="P158" i="15"/>
  <c r="AJ118" i="15"/>
  <c r="Q163" i="15"/>
  <c r="AK123" i="15"/>
  <c r="P166" i="15"/>
  <c r="AJ126" i="15"/>
  <c r="Q171" i="15"/>
  <c r="AK131" i="15"/>
  <c r="R153" i="15"/>
  <c r="AL113" i="15"/>
  <c r="O154" i="15"/>
  <c r="AI114" i="15"/>
  <c r="Q161" i="15"/>
  <c r="AK121" i="15"/>
  <c r="AK129" i="15"/>
  <c r="Q169" i="15"/>
  <c r="P153" i="15"/>
  <c r="AJ113" i="15"/>
  <c r="P161" i="15"/>
  <c r="AJ121" i="15"/>
  <c r="P169" i="15"/>
  <c r="AJ129" i="15"/>
  <c r="O151" i="15"/>
  <c r="AI111" i="15"/>
  <c r="O159" i="15"/>
  <c r="AI119" i="15"/>
  <c r="R157" i="15"/>
  <c r="AL117" i="15"/>
  <c r="P163" i="15"/>
  <c r="AJ123" i="15"/>
  <c r="O167" i="15"/>
  <c r="AI127" i="15"/>
  <c r="R165" i="15"/>
  <c r="AL125" i="15"/>
  <c r="P171" i="15"/>
  <c r="AJ131" i="15"/>
  <c r="P151" i="15"/>
  <c r="AJ111" i="15"/>
  <c r="P159" i="15"/>
  <c r="AJ119" i="15"/>
  <c r="P167" i="15"/>
  <c r="AJ127" i="15"/>
  <c r="Q153" i="15"/>
  <c r="AK113" i="15"/>
  <c r="O158" i="15"/>
  <c r="AI118" i="15"/>
  <c r="R162" i="15"/>
  <c r="AL122" i="15"/>
  <c r="Q165" i="15"/>
  <c r="AK125" i="15"/>
  <c r="R151" i="15"/>
  <c r="AL111" i="15"/>
  <c r="Q154" i="15"/>
  <c r="AK114" i="15"/>
  <c r="R159" i="15"/>
  <c r="AL119" i="15"/>
  <c r="P157" i="15"/>
  <c r="AJ117" i="15"/>
  <c r="Q162" i="15"/>
  <c r="AK122" i="15"/>
  <c r="R167" i="15"/>
  <c r="AL127" i="15"/>
  <c r="P165" i="15"/>
  <c r="AJ125" i="15"/>
  <c r="AK130" i="15"/>
  <c r="Q170" i="15"/>
  <c r="R161" i="15"/>
  <c r="AL121" i="15"/>
  <c r="AI131" i="15"/>
  <c r="O171" i="15"/>
  <c r="T171" i="15" s="1"/>
  <c r="R158" i="15"/>
  <c r="AL118" i="15"/>
  <c r="O150" i="15"/>
  <c r="AI110" i="15"/>
  <c r="R154" i="15"/>
  <c r="AL114" i="15"/>
  <c r="Q157" i="15"/>
  <c r="AK117" i="15"/>
  <c r="O166" i="15"/>
  <c r="AI126" i="15"/>
  <c r="R170" i="15"/>
  <c r="AL130" i="15"/>
  <c r="Q151" i="15"/>
  <c r="AK111" i="15"/>
  <c r="P154" i="15"/>
  <c r="AJ114" i="15"/>
  <c r="Q159" i="15"/>
  <c r="AK119" i="15"/>
  <c r="P162" i="15"/>
  <c r="AJ122" i="15"/>
  <c r="Q167" i="15"/>
  <c r="AK127" i="15"/>
  <c r="AJ130" i="15"/>
  <c r="P170" i="15"/>
  <c r="AG115" i="15"/>
  <c r="R155" i="15"/>
  <c r="AF115" i="15"/>
  <c r="Q155" i="15"/>
  <c r="AB109" i="15"/>
  <c r="R149" i="15"/>
  <c r="AB149" i="15" s="1"/>
  <c r="AE115" i="15"/>
  <c r="P155" i="15"/>
  <c r="AA109" i="15"/>
  <c r="Q149" i="15"/>
  <c r="AA149" i="15" s="1"/>
  <c r="Z109" i="15"/>
  <c r="P149" i="15"/>
  <c r="Z149" i="15" s="1"/>
  <c r="O155" i="15"/>
  <c r="Y155" i="15" s="1"/>
  <c r="AF181" i="15"/>
  <c r="AG123" i="15"/>
  <c r="AB123" i="15"/>
  <c r="AE123" i="15"/>
  <c r="Z123" i="15"/>
  <c r="AD123" i="15"/>
  <c r="Y123" i="15"/>
  <c r="AF123" i="15"/>
  <c r="AA123" i="15"/>
  <c r="O96" i="15"/>
  <c r="V115" i="15"/>
  <c r="AA115" i="15"/>
  <c r="T117" i="15"/>
  <c r="Y117" i="15"/>
  <c r="AD117" i="15"/>
  <c r="U118" i="15"/>
  <c r="AE118" i="15"/>
  <c r="Z118" i="15"/>
  <c r="V123" i="15"/>
  <c r="Y125" i="15"/>
  <c r="AD125" i="15"/>
  <c r="T125" i="15"/>
  <c r="Z126" i="15"/>
  <c r="AE126" i="15"/>
  <c r="U126" i="15"/>
  <c r="AA131" i="15"/>
  <c r="V131" i="15"/>
  <c r="AF131" i="15"/>
  <c r="U115" i="15"/>
  <c r="Z115" i="15"/>
  <c r="Y119" i="15"/>
  <c r="T119" i="15"/>
  <c r="AD119" i="15"/>
  <c r="AG117" i="15"/>
  <c r="W117" i="15"/>
  <c r="AB117" i="15"/>
  <c r="U123" i="15"/>
  <c r="T127" i="15"/>
  <c r="Y127" i="15"/>
  <c r="AD127" i="15"/>
  <c r="AB125" i="15"/>
  <c r="AG125" i="15"/>
  <c r="W125" i="15"/>
  <c r="AE131" i="15"/>
  <c r="U131" i="15"/>
  <c r="Z131" i="15"/>
  <c r="W114" i="15"/>
  <c r="AG114" i="15"/>
  <c r="AB114" i="15"/>
  <c r="Y118" i="15"/>
  <c r="T118" i="15"/>
  <c r="AD118" i="15"/>
  <c r="AA117" i="15"/>
  <c r="V117" i="15"/>
  <c r="AF117" i="15"/>
  <c r="AB122" i="15"/>
  <c r="AG122" i="15"/>
  <c r="W122" i="15"/>
  <c r="AD126" i="15"/>
  <c r="T126" i="15"/>
  <c r="Y126" i="15"/>
  <c r="AA125" i="15"/>
  <c r="AF125" i="15"/>
  <c r="V125" i="15"/>
  <c r="AG130" i="15"/>
  <c r="AB130" i="15"/>
  <c r="W130" i="15"/>
  <c r="V114" i="15"/>
  <c r="AF114" i="15"/>
  <c r="AA114" i="15"/>
  <c r="W119" i="15"/>
  <c r="AG119" i="15"/>
  <c r="AB119" i="15"/>
  <c r="AE117" i="15"/>
  <c r="Z117" i="15"/>
  <c r="U117" i="15"/>
  <c r="AA122" i="15"/>
  <c r="AF122" i="15"/>
  <c r="V122" i="15"/>
  <c r="W127" i="15"/>
  <c r="AB127" i="15"/>
  <c r="AG127" i="15"/>
  <c r="Z125" i="15"/>
  <c r="AE125" i="15"/>
  <c r="U125" i="15"/>
  <c r="AA130" i="15"/>
  <c r="AF130" i="15"/>
  <c r="V130" i="15"/>
  <c r="T113" i="15"/>
  <c r="Y113" i="15"/>
  <c r="Z114" i="15"/>
  <c r="U114" i="15"/>
  <c r="AE114" i="15"/>
  <c r="AA119" i="15"/>
  <c r="V119" i="15"/>
  <c r="AF119" i="15"/>
  <c r="Y121" i="15"/>
  <c r="T121" i="15"/>
  <c r="AD121" i="15"/>
  <c r="U122" i="15"/>
  <c r="Z122" i="15"/>
  <c r="AE122" i="15"/>
  <c r="AF127" i="15"/>
  <c r="V127" i="15"/>
  <c r="AA127" i="15"/>
  <c r="Y129" i="15"/>
  <c r="AD129" i="15"/>
  <c r="T129" i="15"/>
  <c r="AE130" i="15"/>
  <c r="U130" i="15"/>
  <c r="Z130" i="15"/>
  <c r="T115" i="15"/>
  <c r="Y115" i="15"/>
  <c r="W113" i="15"/>
  <c r="AG113" i="15"/>
  <c r="AB113" i="15"/>
  <c r="U119" i="15"/>
  <c r="AE119" i="15"/>
  <c r="Z119" i="15"/>
  <c r="T123" i="15"/>
  <c r="W121" i="15"/>
  <c r="AG121" i="15"/>
  <c r="AB121" i="15"/>
  <c r="AE127" i="15"/>
  <c r="U127" i="15"/>
  <c r="Z127" i="15"/>
  <c r="T131" i="15"/>
  <c r="Y131" i="15"/>
  <c r="AD131" i="15"/>
  <c r="AB129" i="15"/>
  <c r="AG129" i="15"/>
  <c r="W129" i="15"/>
  <c r="T114" i="15"/>
  <c r="Y114" i="15"/>
  <c r="V113" i="15"/>
  <c r="AF113" i="15"/>
  <c r="AA113" i="15"/>
  <c r="W118" i="15"/>
  <c r="AG118" i="15"/>
  <c r="AB118" i="15"/>
  <c r="Y122" i="15"/>
  <c r="AD122" i="15"/>
  <c r="T122" i="15"/>
  <c r="V121" i="15"/>
  <c r="AA121" i="15"/>
  <c r="AF121" i="15"/>
  <c r="AG126" i="15"/>
  <c r="W126" i="15"/>
  <c r="AB126" i="15"/>
  <c r="Y130" i="15"/>
  <c r="T130" i="15"/>
  <c r="AD130" i="15"/>
  <c r="AA129" i="15"/>
  <c r="AF129" i="15"/>
  <c r="V129" i="15"/>
  <c r="W115" i="15"/>
  <c r="AB115" i="15"/>
  <c r="AE113" i="15"/>
  <c r="Z113" i="15"/>
  <c r="U113" i="15"/>
  <c r="V118" i="15"/>
  <c r="AA118" i="15"/>
  <c r="AF118" i="15"/>
  <c r="W123" i="15"/>
  <c r="U121" i="15"/>
  <c r="AE121" i="15"/>
  <c r="Z121" i="15"/>
  <c r="AA126" i="15"/>
  <c r="V126" i="15"/>
  <c r="AF126" i="15"/>
  <c r="W131" i="15"/>
  <c r="AB131" i="15"/>
  <c r="AG131" i="15"/>
  <c r="U129" i="15"/>
  <c r="Z129" i="15"/>
  <c r="AE129" i="15"/>
  <c r="AD93" i="15"/>
  <c r="T93" i="15"/>
  <c r="Y93" i="15"/>
  <c r="U110" i="15"/>
  <c r="AE110" i="15"/>
  <c r="Z110" i="15"/>
  <c r="T111" i="15"/>
  <c r="Y111" i="15"/>
  <c r="V109" i="15"/>
  <c r="AF109" i="15"/>
  <c r="U109" i="15"/>
  <c r="AE109" i="15"/>
  <c r="W83" i="15"/>
  <c r="AG83" i="15"/>
  <c r="AB83" i="15"/>
  <c r="AA111" i="15"/>
  <c r="V111" i="15"/>
  <c r="AF111" i="15"/>
  <c r="T109" i="15"/>
  <c r="T110" i="15"/>
  <c r="Y110" i="15"/>
  <c r="AB91" i="15"/>
  <c r="W91" i="15"/>
  <c r="AG91" i="15"/>
  <c r="W111" i="15"/>
  <c r="AG111" i="15"/>
  <c r="AB111" i="15"/>
  <c r="U111" i="15"/>
  <c r="AE111" i="15"/>
  <c r="Z111" i="15"/>
  <c r="AA209" i="15"/>
  <c r="AA79" i="15"/>
  <c r="V79" i="15"/>
  <c r="AF79" i="15"/>
  <c r="W109" i="15"/>
  <c r="AG109" i="15"/>
  <c r="Z89" i="15"/>
  <c r="U89" i="15"/>
  <c r="AE89" i="15"/>
  <c r="AB110" i="15"/>
  <c r="W110" i="15"/>
  <c r="AG110" i="15"/>
  <c r="AD85" i="15"/>
  <c r="Y85" i="15"/>
  <c r="T85" i="15"/>
  <c r="V110" i="15"/>
  <c r="AF110" i="15"/>
  <c r="AA110" i="15"/>
  <c r="Q87" i="15"/>
  <c r="Q217" i="15" s="1"/>
  <c r="O88" i="15"/>
  <c r="O80" i="15"/>
  <c r="O210" i="15" s="1"/>
  <c r="V197" i="15"/>
  <c r="AA197" i="15"/>
  <c r="Q77" i="15"/>
  <c r="O95" i="15"/>
  <c r="P96" i="15"/>
  <c r="P226" i="15" s="1"/>
  <c r="Q81" i="15"/>
  <c r="Q211" i="15" s="1"/>
  <c r="O83" i="15"/>
  <c r="P84" i="15"/>
  <c r="P241" i="15" s="1"/>
  <c r="Q89" i="15"/>
  <c r="O91" i="15"/>
  <c r="P92" i="15"/>
  <c r="AG221" i="15"/>
  <c r="AG240" i="15"/>
  <c r="AD223" i="15"/>
  <c r="AD250" i="15"/>
  <c r="AF194" i="15"/>
  <c r="P81" i="15"/>
  <c r="P79" i="15"/>
  <c r="AE195" i="15"/>
  <c r="AE197" i="15"/>
  <c r="AF189" i="15"/>
  <c r="R89" i="15"/>
  <c r="Q92" i="15"/>
  <c r="Q84" i="15"/>
  <c r="Q241" i="15" s="1"/>
  <c r="R76" i="15"/>
  <c r="Q95" i="15"/>
  <c r="R80" i="15"/>
  <c r="O84" i="15"/>
  <c r="O241" i="15" s="1"/>
  <c r="R88" i="15"/>
  <c r="O92" i="15"/>
  <c r="Q91" i="15"/>
  <c r="AE187" i="15"/>
  <c r="R81" i="15"/>
  <c r="AG194" i="15"/>
  <c r="AG197" i="15"/>
  <c r="R84" i="15"/>
  <c r="R241" i="15" s="1"/>
  <c r="AE246" i="15"/>
  <c r="AG186" i="15"/>
  <c r="AD199" i="15"/>
  <c r="P77" i="15"/>
  <c r="O97" i="15"/>
  <c r="R95" i="15"/>
  <c r="P87" i="15"/>
  <c r="Q76" i="15"/>
  <c r="R97" i="15"/>
  <c r="P95" i="15"/>
  <c r="Q80" i="15"/>
  <c r="R85" i="15"/>
  <c r="R242" i="15" s="1"/>
  <c r="P83" i="15"/>
  <c r="P240" i="15" s="1"/>
  <c r="Q88" i="15"/>
  <c r="R93" i="15"/>
  <c r="P91" i="15"/>
  <c r="R92" i="15"/>
  <c r="O75" i="15"/>
  <c r="P76" i="15"/>
  <c r="Q97" i="15"/>
  <c r="O79" i="15"/>
  <c r="P80" i="15"/>
  <c r="Q85" i="15"/>
  <c r="Q242" i="15" s="1"/>
  <c r="O87" i="15"/>
  <c r="P88" i="15"/>
  <c r="Q93" i="15"/>
  <c r="O77" i="15"/>
  <c r="R75" i="15"/>
  <c r="P97" i="15"/>
  <c r="O81" i="15"/>
  <c r="R79" i="15"/>
  <c r="P85" i="15"/>
  <c r="P242" i="15" s="1"/>
  <c r="O89" i="15"/>
  <c r="R87" i="15"/>
  <c r="P93" i="15"/>
  <c r="Q83" i="15"/>
  <c r="Q240" i="15" s="1"/>
  <c r="O76" i="15"/>
  <c r="Q75" i="15"/>
  <c r="R96" i="15"/>
  <c r="R77" i="15"/>
  <c r="P75" i="15"/>
  <c r="Q96" i="15"/>
  <c r="AD183" i="15" l="1"/>
  <c r="T183" i="15"/>
  <c r="O240" i="15"/>
  <c r="AD240" i="15" s="1"/>
  <c r="O213" i="15"/>
  <c r="AI83" i="15"/>
  <c r="AK97" i="15"/>
  <c r="Q227" i="15"/>
  <c r="Y96" i="15"/>
  <c r="O226" i="15"/>
  <c r="Y226" i="15" s="1"/>
  <c r="AJ93" i="15"/>
  <c r="P223" i="15"/>
  <c r="AE223" i="15" s="1"/>
  <c r="AI77" i="15"/>
  <c r="O207" i="15"/>
  <c r="AD207" i="15" s="1"/>
  <c r="AJ76" i="15"/>
  <c r="P206" i="15"/>
  <c r="AK80" i="15"/>
  <c r="Q210" i="15"/>
  <c r="AL81" i="15"/>
  <c r="R211" i="15"/>
  <c r="AG211" i="15" s="1"/>
  <c r="AL76" i="15"/>
  <c r="R206" i="15"/>
  <c r="AG206" i="15" s="1"/>
  <c r="AI89" i="15"/>
  <c r="O219" i="15"/>
  <c r="AK91" i="15"/>
  <c r="Q221" i="15"/>
  <c r="AF221" i="15" s="1"/>
  <c r="AJ92" i="15"/>
  <c r="P222" i="15"/>
  <c r="AE222" i="15" s="1"/>
  <c r="AK77" i="15"/>
  <c r="Q207" i="15"/>
  <c r="AL75" i="15"/>
  <c r="R205" i="15"/>
  <c r="AL97" i="15"/>
  <c r="R227" i="15"/>
  <c r="AJ85" i="15"/>
  <c r="P215" i="15"/>
  <c r="AE215" i="15" s="1"/>
  <c r="AK83" i="15"/>
  <c r="Q213" i="15"/>
  <c r="AF213" i="15" s="1"/>
  <c r="AJ77" i="15"/>
  <c r="P207" i="15"/>
  <c r="AK93" i="15"/>
  <c r="Q223" i="15"/>
  <c r="AF223" i="15" s="1"/>
  <c r="AK84" i="15"/>
  <c r="Q214" i="15"/>
  <c r="AF214" i="15" s="1"/>
  <c r="AJ88" i="15"/>
  <c r="P218" i="15"/>
  <c r="AE218" i="15" s="1"/>
  <c r="AL92" i="15"/>
  <c r="R222" i="15"/>
  <c r="AJ81" i="15"/>
  <c r="P211" i="15"/>
  <c r="AE211" i="15" s="1"/>
  <c r="AL77" i="15"/>
  <c r="R207" i="15"/>
  <c r="AG207" i="15" s="1"/>
  <c r="AK76" i="15"/>
  <c r="Q206" i="15"/>
  <c r="AF206" i="15" s="1"/>
  <c r="AL88" i="15"/>
  <c r="R218" i="15"/>
  <c r="AK92" i="15"/>
  <c r="Q222" i="15"/>
  <c r="AF222" i="15" s="1"/>
  <c r="AK89" i="15"/>
  <c r="Q219" i="15"/>
  <c r="AF219" i="15" s="1"/>
  <c r="AK95" i="15"/>
  <c r="Q225" i="15"/>
  <c r="AF225" i="15" s="1"/>
  <c r="AK96" i="15"/>
  <c r="Q226" i="15"/>
  <c r="AL96" i="15"/>
  <c r="R226" i="15"/>
  <c r="AG226" i="15" s="1"/>
  <c r="AK85" i="15"/>
  <c r="Q215" i="15"/>
  <c r="AF215" i="15" s="1"/>
  <c r="AL93" i="15"/>
  <c r="R223" i="15"/>
  <c r="AG223" i="15" s="1"/>
  <c r="AK75" i="15"/>
  <c r="Q205" i="15"/>
  <c r="AI81" i="15"/>
  <c r="O211" i="15"/>
  <c r="AD211" i="15" s="1"/>
  <c r="AJ80" i="15"/>
  <c r="P210" i="15"/>
  <c r="AE210" i="15" s="1"/>
  <c r="AK88" i="15"/>
  <c r="Q218" i="15"/>
  <c r="AF218" i="15" s="1"/>
  <c r="AL95" i="15"/>
  <c r="R225" i="15"/>
  <c r="AL84" i="15"/>
  <c r="R214" i="15"/>
  <c r="AG214" i="15" s="1"/>
  <c r="AI84" i="15"/>
  <c r="O214" i="15"/>
  <c r="AD214" i="15" s="1"/>
  <c r="AL89" i="15"/>
  <c r="R219" i="15"/>
  <c r="AG219" i="15" s="1"/>
  <c r="AJ84" i="15"/>
  <c r="P214" i="15"/>
  <c r="AL85" i="15"/>
  <c r="R215" i="15"/>
  <c r="AL87" i="15"/>
  <c r="R217" i="15"/>
  <c r="AG217" i="15" s="1"/>
  <c r="AJ95" i="15"/>
  <c r="P225" i="15"/>
  <c r="AE225" i="15" s="1"/>
  <c r="AJ79" i="15"/>
  <c r="P209" i="15"/>
  <c r="AJ75" i="15"/>
  <c r="P205" i="15"/>
  <c r="AE205" i="15" s="1"/>
  <c r="AJ91" i="15"/>
  <c r="P221" i="15"/>
  <c r="AE221" i="15" s="1"/>
  <c r="AI92" i="15"/>
  <c r="O222" i="15"/>
  <c r="AD222" i="15" s="1"/>
  <c r="AL79" i="15"/>
  <c r="R209" i="15"/>
  <c r="AJ87" i="15"/>
  <c r="P217" i="15"/>
  <c r="AE217" i="15" s="1"/>
  <c r="AI76" i="15"/>
  <c r="O206" i="15"/>
  <c r="AD206" i="15" s="1"/>
  <c r="AJ97" i="15"/>
  <c r="P227" i="15"/>
  <c r="AE227" i="15" s="1"/>
  <c r="AJ83" i="15"/>
  <c r="P213" i="15"/>
  <c r="AI97" i="15"/>
  <c r="O227" i="15"/>
  <c r="AD227" i="15" s="1"/>
  <c r="AL80" i="15"/>
  <c r="R210" i="15"/>
  <c r="AG210" i="15" s="1"/>
  <c r="AI88" i="15"/>
  <c r="O218" i="15"/>
  <c r="AD253" i="15"/>
  <c r="AI96" i="15"/>
  <c r="T96" i="15"/>
  <c r="AD237" i="15"/>
  <c r="AI80" i="15"/>
  <c r="AD96" i="15"/>
  <c r="AF238" i="15"/>
  <c r="AK81" i="15"/>
  <c r="AF217" i="15"/>
  <c r="AK87" i="15"/>
  <c r="AE226" i="15"/>
  <c r="AJ96" i="15"/>
  <c r="AE253" i="15"/>
  <c r="Y171" i="15"/>
  <c r="AD171" i="15"/>
  <c r="AF244" i="15"/>
  <c r="AA181" i="15"/>
  <c r="V181" i="15"/>
  <c r="AD155" i="15"/>
  <c r="T155" i="15"/>
  <c r="W248" i="15"/>
  <c r="T242" i="15"/>
  <c r="AD242" i="15"/>
  <c r="W213" i="15"/>
  <c r="AG213" i="15"/>
  <c r="V236" i="15"/>
  <c r="AF236" i="15"/>
  <c r="V209" i="15"/>
  <c r="AF209" i="15"/>
  <c r="AB248" i="15"/>
  <c r="Y81" i="15"/>
  <c r="T81" i="15"/>
  <c r="AD81" i="15"/>
  <c r="W95" i="15"/>
  <c r="AB95" i="15"/>
  <c r="AG95" i="15"/>
  <c r="Z97" i="15"/>
  <c r="U97" i="15"/>
  <c r="AE97" i="15"/>
  <c r="U83" i="15"/>
  <c r="AE83" i="15"/>
  <c r="Z83" i="15"/>
  <c r="W88" i="15"/>
  <c r="AG88" i="15"/>
  <c r="AB88" i="15"/>
  <c r="T88" i="15"/>
  <c r="Y88" i="15"/>
  <c r="AD88" i="15"/>
  <c r="AG75" i="15"/>
  <c r="W75" i="15"/>
  <c r="AB75" i="15"/>
  <c r="U77" i="15"/>
  <c r="AE77" i="15"/>
  <c r="Z77" i="15"/>
  <c r="U93" i="15"/>
  <c r="AE93" i="15"/>
  <c r="Z93" i="15"/>
  <c r="AD210" i="15"/>
  <c r="V96" i="15"/>
  <c r="AF96" i="15"/>
  <c r="AA96" i="15"/>
  <c r="Y75" i="15"/>
  <c r="AD75" i="15"/>
  <c r="T75" i="15"/>
  <c r="Z81" i="15"/>
  <c r="U81" i="15"/>
  <c r="AE81" i="15"/>
  <c r="AA81" i="15"/>
  <c r="V81" i="15"/>
  <c r="AF81" i="15"/>
  <c r="Z75" i="15"/>
  <c r="AE75" i="15"/>
  <c r="U75" i="15"/>
  <c r="Y89" i="15"/>
  <c r="T89" i="15"/>
  <c r="AD89" i="15"/>
  <c r="U88" i="15"/>
  <c r="AE88" i="15"/>
  <c r="Z88" i="15"/>
  <c r="W92" i="15"/>
  <c r="AB92" i="15"/>
  <c r="AG92" i="15"/>
  <c r="W97" i="15"/>
  <c r="AB97" i="15"/>
  <c r="AG97" i="15"/>
  <c r="AB76" i="15"/>
  <c r="W76" i="15"/>
  <c r="AG76" i="15"/>
  <c r="U96" i="15"/>
  <c r="AE96" i="15"/>
  <c r="Z96" i="15"/>
  <c r="AF75" i="15"/>
  <c r="V75" i="15"/>
  <c r="AA75" i="15"/>
  <c r="V88" i="15"/>
  <c r="AF88" i="15"/>
  <c r="AA88" i="15"/>
  <c r="AD80" i="15"/>
  <c r="Y80" i="15"/>
  <c r="T80" i="15"/>
  <c r="T76" i="15"/>
  <c r="AD76" i="15"/>
  <c r="Y76" i="15"/>
  <c r="Y79" i="15"/>
  <c r="T79" i="15"/>
  <c r="AD79" i="15"/>
  <c r="Y97" i="15"/>
  <c r="T97" i="15"/>
  <c r="AD97" i="15"/>
  <c r="AA89" i="15"/>
  <c r="V89" i="15"/>
  <c r="AF89" i="15"/>
  <c r="V83" i="15"/>
  <c r="AF83" i="15"/>
  <c r="AA83" i="15"/>
  <c r="W85" i="15"/>
  <c r="AG85" i="15"/>
  <c r="AB85" i="15"/>
  <c r="Z84" i="15"/>
  <c r="U84" i="15"/>
  <c r="AE84" i="15"/>
  <c r="AD77" i="15"/>
  <c r="T77" i="15"/>
  <c r="Y77" i="15"/>
  <c r="Z76" i="15"/>
  <c r="U76" i="15"/>
  <c r="AE76" i="15"/>
  <c r="AB80" i="15"/>
  <c r="W80" i="15"/>
  <c r="AG80" i="15"/>
  <c r="Z79" i="15"/>
  <c r="U79" i="15"/>
  <c r="AE79" i="15"/>
  <c r="AD213" i="15"/>
  <c r="AD83" i="15"/>
  <c r="Y83" i="15"/>
  <c r="T83" i="15"/>
  <c r="V93" i="15"/>
  <c r="AF93" i="15"/>
  <c r="AA93" i="15"/>
  <c r="Z95" i="15"/>
  <c r="U95" i="15"/>
  <c r="AE95" i="15"/>
  <c r="AA95" i="15"/>
  <c r="V95" i="15"/>
  <c r="AF95" i="15"/>
  <c r="AB77" i="15"/>
  <c r="W77" i="15"/>
  <c r="AG77" i="15"/>
  <c r="U85" i="15"/>
  <c r="AE85" i="15"/>
  <c r="Z85" i="15"/>
  <c r="Y87" i="15"/>
  <c r="T87" i="15"/>
  <c r="AD87" i="15"/>
  <c r="U91" i="15"/>
  <c r="AE91" i="15"/>
  <c r="Z91" i="15"/>
  <c r="AA76" i="15"/>
  <c r="V76" i="15"/>
  <c r="AF76" i="15"/>
  <c r="W81" i="15"/>
  <c r="AB81" i="15"/>
  <c r="AG81" i="15"/>
  <c r="AA84" i="15"/>
  <c r="V84" i="15"/>
  <c r="AF84" i="15"/>
  <c r="AB213" i="15"/>
  <c r="T225" i="15"/>
  <c r="T95" i="15"/>
  <c r="AD95" i="15"/>
  <c r="Y95" i="15"/>
  <c r="Y242" i="15"/>
  <c r="U80" i="15"/>
  <c r="AE80" i="15"/>
  <c r="Z80" i="15"/>
  <c r="Y221" i="15"/>
  <c r="AD91" i="15"/>
  <c r="T91" i="15"/>
  <c r="Y91" i="15"/>
  <c r="AG84" i="15"/>
  <c r="W84" i="15"/>
  <c r="AB84" i="15"/>
  <c r="AA97" i="15"/>
  <c r="V97" i="15"/>
  <c r="AF97" i="15"/>
  <c r="Y84" i="15"/>
  <c r="T84" i="15"/>
  <c r="AD84" i="15"/>
  <c r="AA87" i="15"/>
  <c r="V87" i="15"/>
  <c r="AF87" i="15"/>
  <c r="V80" i="15"/>
  <c r="AF80" i="15"/>
  <c r="AA80" i="15"/>
  <c r="AA92" i="15"/>
  <c r="V92" i="15"/>
  <c r="AF92" i="15"/>
  <c r="AG87" i="15"/>
  <c r="AB87" i="15"/>
  <c r="W87" i="15"/>
  <c r="W89" i="15"/>
  <c r="AB89" i="15"/>
  <c r="AG89" i="15"/>
  <c r="W96" i="15"/>
  <c r="AG96" i="15"/>
  <c r="AB96" i="15"/>
  <c r="W79" i="15"/>
  <c r="AB79" i="15"/>
  <c r="AG79" i="15"/>
  <c r="V85" i="15"/>
  <c r="AF85" i="15"/>
  <c r="AA85" i="15"/>
  <c r="W93" i="15"/>
  <c r="AG93" i="15"/>
  <c r="AB93" i="15"/>
  <c r="Z87" i="15"/>
  <c r="U87" i="15"/>
  <c r="AE87" i="15"/>
  <c r="AF211" i="15"/>
  <c r="V91" i="15"/>
  <c r="AF91" i="15"/>
  <c r="AA91" i="15"/>
  <c r="V246" i="15"/>
  <c r="Z92" i="15"/>
  <c r="U92" i="15"/>
  <c r="AE92" i="15"/>
  <c r="AF234" i="15"/>
  <c r="V77" i="15"/>
  <c r="AF77" i="15"/>
  <c r="AA77" i="15"/>
  <c r="T92" i="15"/>
  <c r="AD92" i="15"/>
  <c r="Y92" i="15"/>
  <c r="AA236" i="15"/>
  <c r="W151" i="15"/>
  <c r="AB151" i="15"/>
  <c r="AG151" i="15"/>
  <c r="T248" i="15"/>
  <c r="Y248" i="15"/>
  <c r="U167" i="15"/>
  <c r="AE167" i="15"/>
  <c r="Z167" i="15"/>
  <c r="V153" i="15"/>
  <c r="AF153" i="15"/>
  <c r="AA153" i="15"/>
  <c r="V169" i="15"/>
  <c r="AF169" i="15"/>
  <c r="AA169" i="15"/>
  <c r="V189" i="15"/>
  <c r="AA189" i="15"/>
  <c r="T199" i="15"/>
  <c r="Y199" i="15"/>
  <c r="AE214" i="15"/>
  <c r="AE241" i="15"/>
  <c r="T240" i="15"/>
  <c r="Y240" i="15"/>
  <c r="T213" i="15"/>
  <c r="Y213" i="15"/>
  <c r="W158" i="15"/>
  <c r="AG158" i="15"/>
  <c r="AB158" i="15"/>
  <c r="W169" i="15"/>
  <c r="AG169" i="15"/>
  <c r="AB169" i="15"/>
  <c r="T215" i="15"/>
  <c r="Y215" i="15"/>
  <c r="V161" i="15"/>
  <c r="AF161" i="15"/>
  <c r="AA161" i="15"/>
  <c r="V166" i="15"/>
  <c r="AF166" i="15"/>
  <c r="AA166" i="15"/>
  <c r="W240" i="15"/>
  <c r="AB240" i="15"/>
  <c r="W221" i="15"/>
  <c r="AB221" i="15"/>
  <c r="Y183" i="15"/>
  <c r="W197" i="15"/>
  <c r="AB197" i="15"/>
  <c r="V194" i="15"/>
  <c r="AA194" i="15"/>
  <c r="W166" i="15"/>
  <c r="AB166" i="15"/>
  <c r="AG166" i="15"/>
  <c r="T250" i="15"/>
  <c r="Y250" i="15"/>
  <c r="U246" i="15"/>
  <c r="Z246" i="15"/>
  <c r="W194" i="15"/>
  <c r="AB194" i="15"/>
  <c r="U159" i="15"/>
  <c r="AE159" i="15"/>
  <c r="Z159" i="15"/>
  <c r="T223" i="15"/>
  <c r="Y223" i="15"/>
  <c r="W186" i="15"/>
  <c r="AB186" i="15"/>
  <c r="U169" i="15"/>
  <c r="AE169" i="15"/>
  <c r="Z169" i="15"/>
  <c r="U219" i="15"/>
  <c r="Z219" i="15"/>
  <c r="U226" i="15"/>
  <c r="Z226" i="15"/>
  <c r="U197" i="15"/>
  <c r="Z197" i="15"/>
  <c r="U187" i="15"/>
  <c r="Z187" i="15"/>
  <c r="AD252" i="15"/>
  <c r="U195" i="15"/>
  <c r="Z195" i="15"/>
  <c r="AD179" i="15"/>
  <c r="AG198" i="15"/>
  <c r="AE185" i="15"/>
  <c r="AE244" i="15"/>
  <c r="AG245" i="15"/>
  <c r="AG218" i="15"/>
  <c r="AF183" i="15"/>
  <c r="AG253" i="15"/>
  <c r="AD246" i="15"/>
  <c r="AD219" i="15"/>
  <c r="AE179" i="15"/>
  <c r="AE206" i="15"/>
  <c r="AE233" i="15"/>
  <c r="AF187" i="15"/>
  <c r="AE213" i="15"/>
  <c r="AE240" i="15"/>
  <c r="AD194" i="15"/>
  <c r="AG252" i="15"/>
  <c r="AG225" i="15"/>
  <c r="AD241" i="15"/>
  <c r="AG177" i="15"/>
  <c r="AE250" i="15"/>
  <c r="AE236" i="15"/>
  <c r="AE209" i="15"/>
  <c r="AF178" i="15"/>
  <c r="AF254" i="15"/>
  <c r="AF227" i="15"/>
  <c r="AF193" i="15"/>
  <c r="AE177" i="15"/>
  <c r="AF232" i="15"/>
  <c r="AF205" i="15"/>
  <c r="AE242" i="15"/>
  <c r="AF250" i="15"/>
  <c r="AD232" i="15"/>
  <c r="AD205" i="15"/>
  <c r="AE182" i="15"/>
  <c r="AG242" i="15"/>
  <c r="AG215" i="15"/>
  <c r="AG190" i="15"/>
  <c r="AD254" i="15"/>
  <c r="AE181" i="15"/>
  <c r="AG237" i="15"/>
  <c r="AD198" i="15"/>
  <c r="AF249" i="15"/>
  <c r="AD234" i="15"/>
  <c r="AG191" i="15"/>
  <c r="AD187" i="15"/>
  <c r="AG244" i="15"/>
  <c r="AG189" i="15"/>
  <c r="AG236" i="15"/>
  <c r="AG209" i="15"/>
  <c r="AF198" i="15"/>
  <c r="AF252" i="15"/>
  <c r="AE199" i="15"/>
  <c r="AG246" i="15"/>
  <c r="AE186" i="15"/>
  <c r="AD189" i="15"/>
  <c r="AG241" i="15"/>
  <c r="AE183" i="15"/>
  <c r="AD233" i="15"/>
  <c r="AD181" i="15"/>
  <c r="AE207" i="15"/>
  <c r="AE234" i="15"/>
  <c r="AE194" i="15"/>
  <c r="AD238" i="15"/>
  <c r="AD244" i="15"/>
  <c r="AD217" i="15"/>
  <c r="AE198" i="15"/>
  <c r="AF179" i="15"/>
  <c r="AE252" i="15"/>
  <c r="AD186" i="15"/>
  <c r="AD182" i="15"/>
  <c r="AE193" i="15"/>
  <c r="AG233" i="15"/>
  <c r="AG193" i="15"/>
  <c r="AG181" i="15"/>
  <c r="AF186" i="15"/>
  <c r="AE190" i="15"/>
  <c r="AD178" i="15"/>
  <c r="AG238" i="15"/>
  <c r="AG187" i="15"/>
  <c r="AD185" i="15"/>
  <c r="AF199" i="15"/>
  <c r="AE245" i="15"/>
  <c r="AF210" i="15"/>
  <c r="AF237" i="15"/>
  <c r="AF182" i="15"/>
  <c r="AD193" i="15"/>
  <c r="AE232" i="15"/>
  <c r="AF240" i="15"/>
  <c r="AE254" i="15"/>
  <c r="AF242" i="15"/>
  <c r="AD197" i="15"/>
  <c r="AG249" i="15"/>
  <c r="AG222" i="15"/>
  <c r="AG227" i="15"/>
  <c r="AG254" i="15"/>
  <c r="AG182" i="15"/>
  <c r="AE191" i="15"/>
  <c r="AD191" i="15"/>
  <c r="AG195" i="15"/>
  <c r="AF241" i="15"/>
  <c r="AD195" i="15"/>
  <c r="AG183" i="15"/>
  <c r="AD236" i="15"/>
  <c r="AD209" i="15"/>
  <c r="AG250" i="15"/>
  <c r="AE189" i="15"/>
  <c r="AD249" i="15"/>
  <c r="AF245" i="15"/>
  <c r="AE238" i="15"/>
  <c r="AE178" i="15"/>
  <c r="AD177" i="15"/>
  <c r="AG199" i="15"/>
  <c r="AF185" i="15"/>
  <c r="AF253" i="15"/>
  <c r="AF226" i="15"/>
  <c r="AF191" i="15"/>
  <c r="AG234" i="15"/>
  <c r="AG178" i="15"/>
  <c r="AG232" i="15"/>
  <c r="AG205" i="15"/>
  <c r="AE237" i="15"/>
  <c r="AF195" i="15"/>
  <c r="AF233" i="15"/>
  <c r="AF177" i="15"/>
  <c r="AD190" i="15"/>
  <c r="AF190" i="15"/>
  <c r="AG185" i="15"/>
  <c r="T253" i="15" l="1"/>
  <c r="Y253" i="15"/>
  <c r="Y237" i="15"/>
  <c r="T237" i="15"/>
  <c r="AA244" i="15"/>
  <c r="V238" i="15"/>
  <c r="AA238" i="15"/>
  <c r="AD226" i="15"/>
  <c r="T226" i="15"/>
  <c r="AA217" i="15"/>
  <c r="V217" i="15"/>
  <c r="Z253" i="15"/>
  <c r="U253" i="15"/>
  <c r="V244" i="15"/>
  <c r="T210" i="15"/>
  <c r="V219" i="15"/>
  <c r="AA211" i="15"/>
  <c r="AA219" i="15"/>
  <c r="Y210" i="15"/>
  <c r="V234" i="15"/>
  <c r="V207" i="15"/>
  <c r="AF207" i="15"/>
  <c r="T218" i="15"/>
  <c r="AD218" i="15"/>
  <c r="V211" i="15"/>
  <c r="T245" i="15"/>
  <c r="AD245" i="15"/>
  <c r="AA234" i="15"/>
  <c r="AA207" i="15"/>
  <c r="Z249" i="15"/>
  <c r="AE249" i="15"/>
  <c r="T221" i="15"/>
  <c r="AD221" i="15"/>
  <c r="Y225" i="15"/>
  <c r="AD225" i="15"/>
  <c r="AA246" i="15"/>
  <c r="AF246" i="15"/>
  <c r="W179" i="15"/>
  <c r="AG179" i="15"/>
  <c r="Y218" i="15"/>
  <c r="U249" i="15"/>
  <c r="Y245" i="15"/>
  <c r="AB179" i="15"/>
  <c r="T190" i="15"/>
  <c r="Y190" i="15"/>
  <c r="T209" i="15"/>
  <c r="Y209" i="15"/>
  <c r="U227" i="15"/>
  <c r="Z227" i="15"/>
  <c r="U252" i="15"/>
  <c r="Z252" i="15"/>
  <c r="V170" i="15"/>
  <c r="AF170" i="15"/>
  <c r="AA170" i="15"/>
  <c r="T198" i="15"/>
  <c r="Y198" i="15"/>
  <c r="U250" i="15"/>
  <c r="Z250" i="15"/>
  <c r="Y179" i="15"/>
  <c r="V167" i="15"/>
  <c r="AF167" i="15"/>
  <c r="AA167" i="15"/>
  <c r="V245" i="15"/>
  <c r="AA245" i="15"/>
  <c r="U254" i="15"/>
  <c r="Z254" i="15"/>
  <c r="T157" i="15"/>
  <c r="AD157" i="15"/>
  <c r="Y157" i="15"/>
  <c r="W206" i="15"/>
  <c r="AB206" i="15"/>
  <c r="T206" i="15"/>
  <c r="Y206" i="15"/>
  <c r="V198" i="15"/>
  <c r="AA198" i="15"/>
  <c r="V165" i="15"/>
  <c r="AF165" i="15"/>
  <c r="AA165" i="15"/>
  <c r="U179" i="15"/>
  <c r="Z179" i="15"/>
  <c r="T151" i="15"/>
  <c r="AD151" i="15"/>
  <c r="Y151" i="15"/>
  <c r="U237" i="15"/>
  <c r="Z237" i="15"/>
  <c r="W155" i="15"/>
  <c r="AB155" i="15"/>
  <c r="AG155" i="15"/>
  <c r="W187" i="15"/>
  <c r="AB187" i="15"/>
  <c r="U165" i="15"/>
  <c r="AE165" i="15"/>
  <c r="Z165" i="15"/>
  <c r="U155" i="15"/>
  <c r="AE155" i="15"/>
  <c r="Z155" i="15"/>
  <c r="W163" i="15"/>
  <c r="AG163" i="15"/>
  <c r="AB163" i="15"/>
  <c r="W237" i="15"/>
  <c r="AB237" i="15"/>
  <c r="W215" i="15"/>
  <c r="AB215" i="15"/>
  <c r="U215" i="15"/>
  <c r="Z215" i="15"/>
  <c r="V227" i="15"/>
  <c r="AA227" i="15"/>
  <c r="U217" i="15"/>
  <c r="Z217" i="15"/>
  <c r="U214" i="15"/>
  <c r="Z214" i="15"/>
  <c r="W185" i="15"/>
  <c r="AB185" i="15"/>
  <c r="V177" i="15"/>
  <c r="AA177" i="15"/>
  <c r="U210" i="15"/>
  <c r="Z210" i="15"/>
  <c r="V191" i="15"/>
  <c r="AA191" i="15"/>
  <c r="T149" i="15"/>
  <c r="AD149" i="15"/>
  <c r="T222" i="15"/>
  <c r="Y222" i="15"/>
  <c r="W183" i="15"/>
  <c r="AB183" i="15"/>
  <c r="T163" i="15"/>
  <c r="Y163" i="15"/>
  <c r="AD163" i="15"/>
  <c r="W249" i="15"/>
  <c r="AB249" i="15"/>
  <c r="V213" i="15"/>
  <c r="AA213" i="15"/>
  <c r="V210" i="15"/>
  <c r="AA210" i="15"/>
  <c r="W159" i="15"/>
  <c r="AG159" i="15"/>
  <c r="AB159" i="15"/>
  <c r="V158" i="15"/>
  <c r="AF158" i="15"/>
  <c r="AA158" i="15"/>
  <c r="U193" i="15"/>
  <c r="Z193" i="15"/>
  <c r="V179" i="15"/>
  <c r="AA179" i="15"/>
  <c r="U194" i="15"/>
  <c r="Z194" i="15"/>
  <c r="U183" i="15"/>
  <c r="Z183" i="15"/>
  <c r="W246" i="15"/>
  <c r="AB246" i="15"/>
  <c r="W236" i="15"/>
  <c r="AB236" i="15"/>
  <c r="W191" i="15"/>
  <c r="AB191" i="15"/>
  <c r="W210" i="15"/>
  <c r="AB210" i="15"/>
  <c r="W242" i="15"/>
  <c r="AB242" i="15"/>
  <c r="U242" i="15"/>
  <c r="Z242" i="15"/>
  <c r="V254" i="15"/>
  <c r="AA254" i="15"/>
  <c r="W149" i="15"/>
  <c r="AG149" i="15"/>
  <c r="U213" i="15"/>
  <c r="Z213" i="15"/>
  <c r="T246" i="15"/>
  <c r="Y246" i="15"/>
  <c r="U244" i="15"/>
  <c r="Z244" i="15"/>
  <c r="T252" i="15"/>
  <c r="Y252" i="15"/>
  <c r="U222" i="15"/>
  <c r="Z222" i="15"/>
  <c r="W207" i="15"/>
  <c r="AB207" i="15"/>
  <c r="T185" i="15"/>
  <c r="Y185" i="15"/>
  <c r="W162" i="15"/>
  <c r="AB162" i="15"/>
  <c r="AG162" i="15"/>
  <c r="W218" i="15"/>
  <c r="AB218" i="15"/>
  <c r="W171" i="15"/>
  <c r="AB171" i="15"/>
  <c r="AG171" i="15"/>
  <c r="T211" i="15"/>
  <c r="Y211" i="15"/>
  <c r="U223" i="15"/>
  <c r="Z223" i="15"/>
  <c r="V163" i="15"/>
  <c r="AF163" i="15"/>
  <c r="AA163" i="15"/>
  <c r="T191" i="15"/>
  <c r="Y191" i="15"/>
  <c r="V186" i="15"/>
  <c r="AA186" i="15"/>
  <c r="W219" i="15"/>
  <c r="AB219" i="15"/>
  <c r="V233" i="15"/>
  <c r="AA233" i="15"/>
  <c r="T197" i="15"/>
  <c r="Y197" i="15"/>
  <c r="W181" i="15"/>
  <c r="AB181" i="15"/>
  <c r="U234" i="15"/>
  <c r="Z234" i="15"/>
  <c r="W214" i="15"/>
  <c r="AB214" i="15"/>
  <c r="U199" i="15"/>
  <c r="Z199" i="15"/>
  <c r="W161" i="15"/>
  <c r="AB161" i="15"/>
  <c r="AG161" i="15"/>
  <c r="T207" i="15"/>
  <c r="Y207" i="15"/>
  <c r="U153" i="15"/>
  <c r="AE153" i="15"/>
  <c r="Z153" i="15"/>
  <c r="U182" i="15"/>
  <c r="Z182" i="15"/>
  <c r="V205" i="15"/>
  <c r="AA205" i="15"/>
  <c r="V178" i="15"/>
  <c r="AA178" i="15"/>
  <c r="T214" i="15"/>
  <c r="Y214" i="15"/>
  <c r="V159" i="15"/>
  <c r="AF159" i="15"/>
  <c r="AA159" i="15"/>
  <c r="W226" i="15"/>
  <c r="AB226" i="15"/>
  <c r="U157" i="15"/>
  <c r="AE157" i="15"/>
  <c r="Z157" i="15"/>
  <c r="W199" i="15"/>
  <c r="AB199" i="15"/>
  <c r="V182" i="15"/>
  <c r="AA182" i="15"/>
  <c r="T238" i="15"/>
  <c r="Y238" i="15"/>
  <c r="U158" i="15"/>
  <c r="AE158" i="15"/>
  <c r="Z158" i="15"/>
  <c r="V193" i="15"/>
  <c r="AA193" i="15"/>
  <c r="W195" i="15"/>
  <c r="AB195" i="15"/>
  <c r="T170" i="15"/>
  <c r="Y170" i="15"/>
  <c r="AD170" i="15"/>
  <c r="U241" i="15"/>
  <c r="Z241" i="15"/>
  <c r="Y177" i="15"/>
  <c r="V237" i="15"/>
  <c r="AA237" i="15"/>
  <c r="U166" i="15"/>
  <c r="AE166" i="15"/>
  <c r="Z166" i="15"/>
  <c r="W209" i="15"/>
  <c r="AB209" i="15"/>
  <c r="T219" i="15"/>
  <c r="Y219" i="15"/>
  <c r="V226" i="15"/>
  <c r="AA226" i="15"/>
  <c r="T195" i="15"/>
  <c r="Y195" i="15"/>
  <c r="U163" i="15"/>
  <c r="AE163" i="15"/>
  <c r="Z163" i="15"/>
  <c r="W211" i="15"/>
  <c r="AB211" i="15"/>
  <c r="V248" i="15"/>
  <c r="AA248" i="15"/>
  <c r="V253" i="15"/>
  <c r="AA253" i="15"/>
  <c r="T167" i="15"/>
  <c r="AD167" i="15"/>
  <c r="Y167" i="15"/>
  <c r="U191" i="15"/>
  <c r="Z191" i="15"/>
  <c r="T169" i="15"/>
  <c r="Y169" i="15"/>
  <c r="AD169" i="15"/>
  <c r="U232" i="15"/>
  <c r="Z232" i="15"/>
  <c r="U218" i="15"/>
  <c r="Z218" i="15"/>
  <c r="W238" i="15"/>
  <c r="AB238" i="15"/>
  <c r="W153" i="15"/>
  <c r="AG153" i="15"/>
  <c r="AB153" i="15"/>
  <c r="T154" i="15"/>
  <c r="AD154" i="15"/>
  <c r="Y154" i="15"/>
  <c r="U198" i="15"/>
  <c r="Z198" i="15"/>
  <c r="U207" i="15"/>
  <c r="Z207" i="15"/>
  <c r="W241" i="15"/>
  <c r="AB241" i="15"/>
  <c r="U171" i="15"/>
  <c r="AE171" i="15"/>
  <c r="Z171" i="15"/>
  <c r="W189" i="15"/>
  <c r="AB189" i="15"/>
  <c r="T234" i="15"/>
  <c r="Y234" i="15"/>
  <c r="U181" i="15"/>
  <c r="Z181" i="15"/>
  <c r="U154" i="15"/>
  <c r="AE154" i="15"/>
  <c r="Z154" i="15"/>
  <c r="V232" i="15"/>
  <c r="AA232" i="15"/>
  <c r="V150" i="15"/>
  <c r="AF150" i="15"/>
  <c r="AA150" i="15"/>
  <c r="T241" i="15"/>
  <c r="Y241" i="15"/>
  <c r="V187" i="15"/>
  <c r="AA187" i="15"/>
  <c r="W253" i="15"/>
  <c r="AB253" i="15"/>
  <c r="U185" i="15"/>
  <c r="Z185" i="15"/>
  <c r="V195" i="15"/>
  <c r="AA195" i="15"/>
  <c r="W167" i="15"/>
  <c r="AB167" i="15"/>
  <c r="AG167" i="15"/>
  <c r="U190" i="15"/>
  <c r="Z190" i="15"/>
  <c r="T233" i="15"/>
  <c r="Y233" i="15"/>
  <c r="T194" i="15"/>
  <c r="Y194" i="15"/>
  <c r="W227" i="15"/>
  <c r="AB227" i="15"/>
  <c r="W190" i="15"/>
  <c r="AB190" i="15"/>
  <c r="V240" i="15"/>
  <c r="AA240" i="15"/>
  <c r="U240" i="15"/>
  <c r="Z240" i="15"/>
  <c r="W205" i="15"/>
  <c r="AB205" i="15"/>
  <c r="U189" i="15"/>
  <c r="Z189" i="15"/>
  <c r="U205" i="15"/>
  <c r="Z205" i="15"/>
  <c r="Y182" i="15"/>
  <c r="U221" i="15"/>
  <c r="Z221" i="15"/>
  <c r="W182" i="15"/>
  <c r="AB182" i="15"/>
  <c r="V199" i="15"/>
  <c r="AA199" i="15"/>
  <c r="T217" i="15"/>
  <c r="Y217" i="15"/>
  <c r="T189" i="15"/>
  <c r="Y189" i="15"/>
  <c r="V252" i="15"/>
  <c r="AA252" i="15"/>
  <c r="W244" i="15"/>
  <c r="AB244" i="15"/>
  <c r="V222" i="15"/>
  <c r="AA222" i="15"/>
  <c r="T227" i="15"/>
  <c r="Y227" i="15"/>
  <c r="T205" i="15"/>
  <c r="Y205" i="15"/>
  <c r="U149" i="15"/>
  <c r="AE149" i="15"/>
  <c r="U209" i="15"/>
  <c r="Z209" i="15"/>
  <c r="W225" i="15"/>
  <c r="AB225" i="15"/>
  <c r="U233" i="15"/>
  <c r="Z233" i="15"/>
  <c r="V155" i="15"/>
  <c r="AF155" i="15"/>
  <c r="AA155" i="15"/>
  <c r="W170" i="15"/>
  <c r="AG170" i="15"/>
  <c r="AB170" i="15"/>
  <c r="V218" i="15"/>
  <c r="AA218" i="15"/>
  <c r="W254" i="15"/>
  <c r="AB254" i="15"/>
  <c r="W233" i="15"/>
  <c r="AB233" i="15"/>
  <c r="T187" i="15"/>
  <c r="Y187" i="15"/>
  <c r="V250" i="15"/>
  <c r="AA250" i="15"/>
  <c r="U151" i="15"/>
  <c r="AE151" i="15"/>
  <c r="Z151" i="15"/>
  <c r="T162" i="15"/>
  <c r="AD162" i="15"/>
  <c r="Y162" i="15"/>
  <c r="W234" i="15"/>
  <c r="AB234" i="15"/>
  <c r="T236" i="15"/>
  <c r="Y236" i="15"/>
  <c r="V154" i="15"/>
  <c r="AF154" i="15"/>
  <c r="AA154" i="15"/>
  <c r="U162" i="15"/>
  <c r="AE162" i="15"/>
  <c r="Z162" i="15"/>
  <c r="U225" i="15"/>
  <c r="Z225" i="15"/>
  <c r="U186" i="15"/>
  <c r="Z186" i="15"/>
  <c r="T159" i="15"/>
  <c r="Y159" i="15"/>
  <c r="AD159" i="15"/>
  <c r="V223" i="15"/>
  <c r="AA223" i="15"/>
  <c r="T166" i="15"/>
  <c r="AD166" i="15"/>
  <c r="Y166" i="15"/>
  <c r="W245" i="15"/>
  <c r="AB245" i="15"/>
  <c r="W157" i="15"/>
  <c r="AB157" i="15"/>
  <c r="AG157" i="15"/>
  <c r="V149" i="15"/>
  <c r="AF149" i="15"/>
  <c r="T249" i="15"/>
  <c r="Y249" i="15"/>
  <c r="W222" i="15"/>
  <c r="AB222" i="15"/>
  <c r="V151" i="15"/>
  <c r="AF151" i="15"/>
  <c r="AA151" i="15"/>
  <c r="W177" i="15"/>
  <c r="AB177" i="15"/>
  <c r="V221" i="15"/>
  <c r="AA221" i="15"/>
  <c r="U178" i="15"/>
  <c r="Z178" i="15"/>
  <c r="U245" i="15"/>
  <c r="Z245" i="15"/>
  <c r="U170" i="15"/>
  <c r="AE170" i="15"/>
  <c r="Z170" i="15"/>
  <c r="V206" i="15"/>
  <c r="AA206" i="15"/>
  <c r="W232" i="15"/>
  <c r="AB232" i="15"/>
  <c r="U150" i="15"/>
  <c r="AE150" i="15"/>
  <c r="Z150" i="15"/>
  <c r="U161" i="15"/>
  <c r="AE161" i="15"/>
  <c r="Z161" i="15"/>
  <c r="V162" i="15"/>
  <c r="AF162" i="15"/>
  <c r="AA162" i="15"/>
  <c r="W150" i="15"/>
  <c r="AB150" i="15"/>
  <c r="AG150" i="15"/>
  <c r="V185" i="15"/>
  <c r="AA185" i="15"/>
  <c r="U211" i="15"/>
  <c r="Z211" i="15"/>
  <c r="W250" i="15"/>
  <c r="AB250" i="15"/>
  <c r="V214" i="15"/>
  <c r="AA214" i="15"/>
  <c r="V215" i="15"/>
  <c r="AA215" i="15"/>
  <c r="T193" i="15"/>
  <c r="Y193" i="15"/>
  <c r="Y178" i="15"/>
  <c r="W193" i="15"/>
  <c r="AB193" i="15"/>
  <c r="T186" i="15"/>
  <c r="Y186" i="15"/>
  <c r="Y181" i="15"/>
  <c r="V190" i="15"/>
  <c r="AA190" i="15"/>
  <c r="U248" i="15"/>
  <c r="Z248" i="15"/>
  <c r="W178" i="15"/>
  <c r="AB178" i="15"/>
  <c r="V157" i="15"/>
  <c r="AF157" i="15"/>
  <c r="AA157" i="15"/>
  <c r="U238" i="15"/>
  <c r="Z238" i="15"/>
  <c r="W223" i="15"/>
  <c r="AB223" i="15"/>
  <c r="V241" i="15"/>
  <c r="AA241" i="15"/>
  <c r="W154" i="15"/>
  <c r="AG154" i="15"/>
  <c r="AB154" i="15"/>
  <c r="V242" i="15"/>
  <c r="AA242" i="15"/>
  <c r="T165" i="15"/>
  <c r="AD165" i="15"/>
  <c r="Y165" i="15"/>
  <c r="V171" i="15"/>
  <c r="AF171" i="15"/>
  <c r="AA171" i="15"/>
  <c r="T150" i="15"/>
  <c r="AD150" i="15"/>
  <c r="Y150" i="15"/>
  <c r="W165" i="15"/>
  <c r="AG165" i="15"/>
  <c r="AB165" i="15"/>
  <c r="T158" i="15"/>
  <c r="Y158" i="15"/>
  <c r="AD158" i="15"/>
  <c r="T244" i="15"/>
  <c r="Y244" i="15"/>
  <c r="T153" i="15"/>
  <c r="Y153" i="15"/>
  <c r="AD153" i="15"/>
  <c r="T161" i="15"/>
  <c r="AD161" i="15"/>
  <c r="Y161" i="15"/>
  <c r="V225" i="15"/>
  <c r="AA225" i="15"/>
  <c r="W217" i="15"/>
  <c r="AB217" i="15"/>
  <c r="V249" i="15"/>
  <c r="AA249" i="15"/>
  <c r="T254" i="15"/>
  <c r="Y254" i="15"/>
  <c r="T232" i="15"/>
  <c r="Y232" i="15"/>
  <c r="U177" i="15"/>
  <c r="Z177" i="15"/>
  <c r="U236" i="15"/>
  <c r="Z236" i="15"/>
  <c r="W252" i="15"/>
  <c r="AB252" i="15"/>
  <c r="U206" i="15"/>
  <c r="Z206" i="15"/>
  <c r="V183" i="15"/>
  <c r="AA183" i="15"/>
  <c r="W198" i="15"/>
  <c r="AB198" i="15"/>
  <c r="I59" i="15"/>
  <c r="J59" i="15"/>
  <c r="K59" i="15"/>
  <c r="I60" i="15"/>
  <c r="J60" i="15"/>
  <c r="K60" i="15"/>
  <c r="K58" i="15"/>
  <c r="J58" i="15"/>
  <c r="I58" i="15"/>
  <c r="H59" i="15"/>
  <c r="H60" i="15"/>
  <c r="H58" i="15"/>
  <c r="H37" i="15"/>
  <c r="I37" i="15"/>
  <c r="J37" i="15"/>
  <c r="H38" i="15"/>
  <c r="I38" i="15"/>
  <c r="J38" i="15"/>
  <c r="G38" i="15"/>
  <c r="G37" i="15"/>
  <c r="H36" i="15"/>
  <c r="I36" i="15"/>
  <c r="J36" i="15"/>
  <c r="G36" i="15"/>
  <c r="H33" i="15"/>
  <c r="I33" i="15"/>
  <c r="J33" i="15"/>
  <c r="H31" i="15"/>
  <c r="I31" i="15"/>
  <c r="J31" i="15"/>
  <c r="G33" i="15"/>
  <c r="G31" i="15"/>
  <c r="H43" i="15"/>
  <c r="I43" i="15"/>
  <c r="J43" i="15"/>
  <c r="G43" i="15"/>
  <c r="H41" i="15"/>
  <c r="I41" i="15"/>
  <c r="J41" i="15"/>
  <c r="G41" i="15"/>
  <c r="H42" i="15"/>
  <c r="I42" i="15"/>
  <c r="J42" i="15"/>
  <c r="G42" i="15"/>
  <c r="H32" i="15"/>
  <c r="I32" i="15"/>
  <c r="J32" i="15"/>
  <c r="G32" i="15"/>
  <c r="H28" i="15"/>
  <c r="I28" i="15"/>
  <c r="J28" i="15"/>
  <c r="G28" i="15"/>
  <c r="H29" i="15"/>
  <c r="I29" i="15"/>
  <c r="J29" i="15"/>
  <c r="G29" i="15"/>
  <c r="I27" i="15"/>
  <c r="J27" i="15"/>
  <c r="G27" i="15"/>
  <c r="H27" i="15"/>
  <c r="L122" i="13" l="1"/>
  <c r="L129" i="13"/>
  <c r="L130" i="13"/>
  <c r="L128" i="13"/>
  <c r="J13" i="13"/>
  <c r="J14" i="13" s="1"/>
  <c r="J50" i="13" s="1"/>
  <c r="K13" i="13"/>
  <c r="K14" i="13" s="1"/>
  <c r="K50" i="13" s="1"/>
  <c r="L13" i="13"/>
  <c r="L14" i="13" s="1"/>
  <c r="L50" i="13" s="1"/>
  <c r="I13" i="13"/>
  <c r="I14" i="13" s="1"/>
  <c r="I50" i="13" s="1"/>
  <c r="J8" i="13"/>
  <c r="K8" i="13"/>
  <c r="L8" i="13"/>
  <c r="J9" i="13"/>
  <c r="K9" i="13"/>
  <c r="L9" i="13"/>
  <c r="J10" i="13"/>
  <c r="K10" i="13"/>
  <c r="L10" i="13"/>
  <c r="J11" i="13"/>
  <c r="K11" i="13"/>
  <c r="L11" i="13"/>
  <c r="J12" i="13"/>
  <c r="K12" i="13"/>
  <c r="L12" i="13"/>
  <c r="I9" i="13"/>
  <c r="I10" i="13"/>
  <c r="I11" i="13"/>
  <c r="I12" i="13"/>
  <c r="I8" i="13"/>
  <c r="O118" i="13" l="1"/>
  <c r="D63" i="13"/>
  <c r="L131" i="13"/>
  <c r="O120" i="13"/>
  <c r="D65" i="13"/>
  <c r="O119" i="13"/>
  <c r="D64" i="13"/>
  <c r="L139" i="13"/>
  <c r="D78" i="13"/>
  <c r="L135" i="13"/>
  <c r="E78" i="13"/>
  <c r="F78" i="13"/>
  <c r="G78" i="13"/>
  <c r="D80" i="13" l="1"/>
  <c r="O150" i="13"/>
  <c r="L145" i="13"/>
  <c r="E56" i="13"/>
  <c r="P56" i="13" s="1"/>
  <c r="F56" i="13"/>
  <c r="Q56" i="13" s="1"/>
  <c r="G56" i="13"/>
  <c r="R56" i="13" s="1"/>
  <c r="D56" i="13"/>
  <c r="O56" i="13" s="1"/>
  <c r="G31" i="13"/>
  <c r="L52" i="13" s="1"/>
  <c r="G14" i="13"/>
  <c r="E14" i="13"/>
  <c r="F14" i="13"/>
  <c r="D14" i="13"/>
  <c r="D50" i="13" s="1"/>
  <c r="O50" i="13" s="1"/>
  <c r="D31" i="13"/>
  <c r="F31" i="13"/>
  <c r="E31" i="13"/>
  <c r="A30" i="13"/>
  <c r="A31" i="13"/>
  <c r="A32" i="13"/>
  <c r="A33" i="13"/>
  <c r="A34" i="13"/>
  <c r="A35" i="13"/>
  <c r="A36" i="13"/>
  <c r="A37" i="13"/>
  <c r="A38" i="13"/>
  <c r="A39" i="13"/>
  <c r="A40" i="13"/>
  <c r="A41" i="13"/>
  <c r="A42" i="13"/>
  <c r="A43" i="13"/>
  <c r="A44" i="13"/>
  <c r="A45" i="13"/>
  <c r="G50" i="13" l="1"/>
  <c r="R50" i="13" s="1"/>
  <c r="R14" i="13"/>
  <c r="F50" i="13"/>
  <c r="Q50" i="13" s="1"/>
  <c r="Q14" i="13"/>
  <c r="E50" i="13"/>
  <c r="P50" i="13" s="1"/>
  <c r="P14" i="13"/>
  <c r="F57" i="13"/>
  <c r="Q57" i="13" s="1"/>
  <c r="F51" i="13"/>
  <c r="Q51" i="13" s="1"/>
  <c r="G57" i="13"/>
  <c r="R57" i="13" s="1"/>
  <c r="G51" i="13"/>
  <c r="R51" i="13" s="1"/>
  <c r="O158" i="13"/>
  <c r="O149" i="13"/>
  <c r="L146" i="13"/>
  <c r="D57" i="13"/>
  <c r="O57" i="13" s="1"/>
  <c r="D51" i="13"/>
  <c r="O51" i="13" s="1"/>
  <c r="O148" i="13"/>
  <c r="L144" i="13"/>
  <c r="E51" i="13"/>
  <c r="P51" i="13" s="1"/>
  <c r="E57" i="13"/>
  <c r="P57" i="13" s="1"/>
  <c r="D48" i="13"/>
  <c r="I51" i="13"/>
  <c r="E48" i="13"/>
  <c r="F48" i="13"/>
  <c r="G48" i="13"/>
  <c r="F58" i="13"/>
  <c r="K52" i="13"/>
  <c r="E58" i="13"/>
  <c r="J52" i="13"/>
  <c r="I52" i="13"/>
  <c r="D52" i="13"/>
  <c r="O52" i="13" s="1"/>
  <c r="D58" i="13"/>
  <c r="O58" i="13" s="1"/>
  <c r="G52" i="13"/>
  <c r="G58" i="13"/>
  <c r="F52" i="13"/>
  <c r="Q52" i="13" s="1"/>
  <c r="E52" i="13"/>
  <c r="P52" i="13" s="1"/>
  <c r="T57" i="9"/>
  <c r="T58" i="9"/>
  <c r="T56" i="9"/>
  <c r="E63" i="9"/>
  <c r="H63" i="9"/>
  <c r="K63" i="9"/>
  <c r="B63" i="9"/>
  <c r="E65" i="9"/>
  <c r="H65" i="9"/>
  <c r="K65" i="9"/>
  <c r="T59" i="9" s="1"/>
  <c r="B65" i="9"/>
  <c r="E64" i="9"/>
  <c r="H64" i="9"/>
  <c r="K64" i="9"/>
  <c r="B64" i="9"/>
  <c r="P48" i="13" l="1"/>
  <c r="P118" i="13"/>
  <c r="P120" i="13"/>
  <c r="P119" i="13"/>
  <c r="Q48" i="13"/>
  <c r="Q118" i="13"/>
  <c r="Q119" i="13"/>
  <c r="Q120" i="13"/>
  <c r="R48" i="13"/>
  <c r="R120" i="13"/>
  <c r="R118" i="13"/>
  <c r="R119" i="13"/>
  <c r="T61" i="9"/>
  <c r="G59" i="13"/>
  <c r="R59" i="13" s="1"/>
  <c r="R58" i="13"/>
  <c r="E59" i="13"/>
  <c r="P59" i="13" s="1"/>
  <c r="P58" i="13"/>
  <c r="G53" i="13"/>
  <c r="R53" i="13" s="1"/>
  <c r="R52" i="13"/>
  <c r="F59" i="13"/>
  <c r="Q59" i="13" s="1"/>
  <c r="Q58" i="13"/>
  <c r="E53" i="13"/>
  <c r="P53" i="13" s="1"/>
  <c r="D59" i="13"/>
  <c r="O59" i="13" s="1"/>
  <c r="I48" i="13"/>
  <c r="I79" i="13" s="1"/>
  <c r="D53" i="13"/>
  <c r="F53" i="13"/>
  <c r="K51" i="13"/>
  <c r="K53" i="13" s="1"/>
  <c r="K48" i="13"/>
  <c r="K79" i="13" s="1"/>
  <c r="J51" i="13"/>
  <c r="J53" i="13" s="1"/>
  <c r="J48" i="13"/>
  <c r="J79" i="13" s="1"/>
  <c r="L48" i="13"/>
  <c r="L79" i="13" s="1"/>
  <c r="L51" i="13"/>
  <c r="L53" i="13" s="1"/>
  <c r="I53" i="13"/>
  <c r="P149" i="13" l="1"/>
  <c r="K95" i="13"/>
  <c r="K94" i="13"/>
  <c r="K96" i="13"/>
  <c r="P150" i="13"/>
  <c r="P148" i="13"/>
  <c r="G64" i="13"/>
  <c r="F63" i="13"/>
  <c r="E63" i="13"/>
  <c r="J94" i="13"/>
  <c r="J95" i="13"/>
  <c r="J96" i="13"/>
  <c r="R149" i="13"/>
  <c r="Q149" i="13"/>
  <c r="R150" i="13"/>
  <c r="L94" i="13"/>
  <c r="L96" i="13"/>
  <c r="L95" i="13"/>
  <c r="G63" i="13"/>
  <c r="F65" i="13"/>
  <c r="E65" i="13"/>
  <c r="Q150" i="13"/>
  <c r="R148" i="13"/>
  <c r="R60" i="13"/>
  <c r="Q148" i="13"/>
  <c r="G65" i="13"/>
  <c r="F64" i="13"/>
  <c r="E64" i="13"/>
  <c r="L108" i="13"/>
  <c r="L110" i="13"/>
  <c r="L109" i="13"/>
  <c r="K110" i="13"/>
  <c r="K109" i="13"/>
  <c r="K108" i="13"/>
  <c r="P60" i="13"/>
  <c r="J108" i="13"/>
  <c r="J109" i="13"/>
  <c r="J110" i="13"/>
  <c r="I108" i="13"/>
  <c r="I109" i="13"/>
  <c r="I110" i="13"/>
  <c r="J89" i="13"/>
  <c r="J88" i="13"/>
  <c r="J90" i="13"/>
  <c r="L89" i="13"/>
  <c r="L90" i="13"/>
  <c r="L88" i="13"/>
  <c r="K89" i="13"/>
  <c r="K88" i="13"/>
  <c r="K90" i="13"/>
  <c r="I88" i="13"/>
  <c r="I89" i="13"/>
  <c r="I90" i="13"/>
  <c r="Q53" i="13"/>
  <c r="Q60" i="13" s="1"/>
  <c r="O53" i="13"/>
  <c r="O60" i="13" s="1"/>
  <c r="C52" i="7"/>
  <c r="D52" i="7"/>
  <c r="E52" i="7"/>
  <c r="F52" i="7"/>
  <c r="F80" i="13" l="1"/>
  <c r="E80" i="13"/>
  <c r="G80" i="13"/>
  <c r="G22" i="7"/>
  <c r="B39" i="7" s="1"/>
  <c r="G23" i="7"/>
  <c r="B40" i="7" s="1"/>
  <c r="G24" i="7"/>
  <c r="B41" i="7" s="1"/>
  <c r="G25" i="7"/>
  <c r="B42" i="7" s="1"/>
  <c r="G26" i="7"/>
  <c r="B43" i="7" s="1"/>
  <c r="G27" i="7"/>
  <c r="B44" i="7" s="1"/>
  <c r="G21" i="7"/>
  <c r="B38" i="7" s="1"/>
  <c r="G29" i="7" l="1"/>
  <c r="C32" i="6"/>
  <c r="D32" i="6"/>
  <c r="B32" i="6"/>
  <c r="K14" i="2"/>
  <c r="L14" i="2"/>
  <c r="J14" i="2"/>
  <c r="E24" i="9"/>
  <c r="D20" i="9"/>
  <c r="F20" i="9" s="1"/>
  <c r="D22" i="9"/>
  <c r="D23" i="9" s="1"/>
  <c r="D24" i="9" s="1"/>
  <c r="F24" i="9" l="1"/>
  <c r="F79" i="9" l="1"/>
  <c r="E78" i="9"/>
  <c r="D78" i="9"/>
  <c r="C78" i="9"/>
  <c r="B78" i="9"/>
  <c r="E77" i="9"/>
  <c r="D77" i="9"/>
  <c r="C77" i="9"/>
  <c r="B77" i="9"/>
  <c r="E76" i="9"/>
  <c r="D76" i="9"/>
  <c r="C76" i="9"/>
  <c r="B76" i="9"/>
  <c r="E75" i="9"/>
  <c r="D75" i="9"/>
  <c r="C75" i="9"/>
  <c r="B75" i="9"/>
  <c r="E74" i="9"/>
  <c r="D74" i="9"/>
  <c r="C74" i="9"/>
  <c r="B74" i="9"/>
  <c r="E73" i="9"/>
  <c r="D73" i="9"/>
  <c r="C73" i="9"/>
  <c r="B73" i="9"/>
  <c r="E72" i="9"/>
  <c r="D72" i="9"/>
  <c r="C72" i="9"/>
  <c r="B72" i="9"/>
  <c r="K62" i="9"/>
  <c r="H62" i="9"/>
  <c r="E62" i="9"/>
  <c r="B62" i="9"/>
  <c r="K61" i="9"/>
  <c r="H61" i="9"/>
  <c r="E61" i="9"/>
  <c r="B61" i="9"/>
  <c r="P59" i="9"/>
  <c r="R60" i="9" s="1"/>
  <c r="I45" i="5"/>
  <c r="H37" i="5"/>
  <c r="H38" i="5"/>
  <c r="H39" i="5"/>
  <c r="H40" i="5"/>
  <c r="H41" i="5"/>
  <c r="H42" i="5"/>
  <c r="H36" i="5"/>
  <c r="E30" i="7"/>
  <c r="D30" i="7"/>
  <c r="C30" i="7"/>
  <c r="B30" i="7"/>
  <c r="E29" i="7"/>
  <c r="D29" i="7"/>
  <c r="C29" i="7"/>
  <c r="B29" i="7"/>
  <c r="F9" i="2"/>
  <c r="E9" i="2"/>
  <c r="E80" i="9" l="1"/>
  <c r="E81" i="9" s="1"/>
  <c r="D42" i="9" s="1"/>
  <c r="B80" i="9"/>
  <c r="B81" i="9" s="1"/>
  <c r="D80" i="9"/>
  <c r="D81" i="9" s="1"/>
  <c r="C80" i="9"/>
  <c r="C81" i="9" s="1"/>
  <c r="M26" i="5"/>
  <c r="G81" i="9" l="1"/>
  <c r="L81" i="9" s="1"/>
  <c r="D40" i="9"/>
  <c r="B40" i="9"/>
  <c r="B42" i="9"/>
  <c r="B46" i="7"/>
  <c r="C42" i="9" l="1"/>
  <c r="C40" i="9"/>
  <c r="L42" i="5"/>
  <c r="P46" i="1"/>
  <c r="L56" i="1" l="1"/>
  <c r="E12" i="2" l="1"/>
  <c r="E10" i="2"/>
  <c r="F10" i="2"/>
  <c r="C20" i="2"/>
  <c r="E13" i="2"/>
  <c r="F13" i="2"/>
  <c r="F12" i="2"/>
  <c r="E11" i="2"/>
  <c r="F11" i="2"/>
  <c r="C19" i="2"/>
  <c r="H18" i="2"/>
  <c r="H65" i="4" l="1"/>
  <c r="H66" i="4"/>
  <c r="H67" i="4"/>
  <c r="H64" i="4"/>
  <c r="H59" i="4"/>
  <c r="L277" i="4"/>
  <c r="K277" i="4"/>
  <c r="H277" i="4"/>
  <c r="G277" i="4"/>
  <c r="E277" i="4"/>
  <c r="D277" i="4"/>
  <c r="C277" i="4"/>
  <c r="B277" i="4"/>
  <c r="F68" i="1"/>
  <c r="D54" i="5"/>
  <c r="C54" i="5"/>
  <c r="C55" i="5"/>
  <c r="C57" i="5"/>
  <c r="K37" i="5"/>
  <c r="H54" i="5" s="1"/>
  <c r="K38" i="5"/>
  <c r="H55" i="5" s="1"/>
  <c r="K39" i="5"/>
  <c r="G56" i="5" s="1"/>
  <c r="K40" i="5"/>
  <c r="D57" i="5" s="1"/>
  <c r="K41" i="5"/>
  <c r="L41" i="5" s="1"/>
  <c r="K42" i="5"/>
  <c r="B59" i="5" s="1"/>
  <c r="K36" i="5"/>
  <c r="H53" i="5" s="1"/>
  <c r="C45" i="5"/>
  <c r="D45" i="5"/>
  <c r="C44" i="5"/>
  <c r="D44" i="5"/>
  <c r="B44" i="5"/>
  <c r="E44" i="5"/>
  <c r="D56" i="5" l="1"/>
  <c r="F57" i="5"/>
  <c r="B58" i="5"/>
  <c r="F55" i="5"/>
  <c r="B55" i="5"/>
  <c r="G55" i="5"/>
  <c r="B57" i="5"/>
  <c r="C56" i="5"/>
  <c r="D55" i="5"/>
  <c r="E58" i="5"/>
  <c r="F56" i="5"/>
  <c r="G54" i="5"/>
  <c r="B56" i="5"/>
  <c r="E57" i="5"/>
  <c r="H59" i="5"/>
  <c r="E56" i="5"/>
  <c r="F54" i="5"/>
  <c r="H58" i="5"/>
  <c r="B54" i="5"/>
  <c r="D53" i="5"/>
  <c r="E53" i="5"/>
  <c r="E55" i="5"/>
  <c r="G59" i="5"/>
  <c r="H57" i="5"/>
  <c r="C53" i="5"/>
  <c r="D59" i="5"/>
  <c r="F53" i="5"/>
  <c r="E54" i="5"/>
  <c r="G58" i="5"/>
  <c r="H56" i="5"/>
  <c r="B53" i="5"/>
  <c r="C59" i="5"/>
  <c r="D58" i="5"/>
  <c r="G53" i="5"/>
  <c r="F59" i="5"/>
  <c r="G57" i="5"/>
  <c r="E59" i="5"/>
  <c r="C58" i="5"/>
  <c r="F58" i="5"/>
  <c r="K44" i="5"/>
  <c r="P31" i="5"/>
  <c r="P30" i="5"/>
  <c r="P29" i="5"/>
  <c r="P28" i="5"/>
  <c r="P27" i="5"/>
  <c r="O31" i="5"/>
  <c r="O30" i="5"/>
  <c r="O29" i="5"/>
  <c r="O28" i="5"/>
  <c r="O27" i="5"/>
  <c r="N31" i="5"/>
  <c r="N30" i="5"/>
  <c r="N29" i="5"/>
  <c r="N28" i="5"/>
  <c r="N27" i="5"/>
  <c r="M28" i="5"/>
  <c r="M29" i="5"/>
  <c r="M30" i="5"/>
  <c r="L31" i="5"/>
  <c r="L30" i="5"/>
  <c r="L29" i="5"/>
  <c r="P26" i="5"/>
  <c r="O26" i="5"/>
  <c r="N26" i="5"/>
  <c r="M31" i="5"/>
  <c r="M27" i="5"/>
  <c r="L28" i="5"/>
  <c r="L27" i="5"/>
  <c r="L26" i="5"/>
  <c r="I37" i="5"/>
  <c r="I38" i="5"/>
  <c r="I39" i="5"/>
  <c r="I40" i="5"/>
  <c r="I41" i="5"/>
  <c r="I42" i="5"/>
  <c r="I36" i="5"/>
  <c r="E45" i="5"/>
  <c r="B45" i="5"/>
  <c r="N13" i="5"/>
  <c r="N42" i="5"/>
  <c r="E62" i="1"/>
  <c r="E63" i="1"/>
  <c r="E64" i="1"/>
  <c r="E65" i="1"/>
  <c r="E66" i="1"/>
  <c r="E67" i="1"/>
  <c r="E61" i="1"/>
  <c r="D62" i="1"/>
  <c r="D63" i="1"/>
  <c r="D64" i="1"/>
  <c r="D65" i="1"/>
  <c r="D66" i="1"/>
  <c r="D67" i="1"/>
  <c r="D61" i="1"/>
  <c r="C62" i="1"/>
  <c r="C63" i="1"/>
  <c r="C64" i="1"/>
  <c r="C65" i="1"/>
  <c r="C66" i="1"/>
  <c r="C67" i="1"/>
  <c r="C61" i="1"/>
  <c r="B62" i="1"/>
  <c r="B63" i="1"/>
  <c r="B64" i="1"/>
  <c r="B65" i="1"/>
  <c r="B66" i="1"/>
  <c r="B67" i="1"/>
  <c r="B61" i="1"/>
  <c r="E48" i="1"/>
  <c r="E49" i="1"/>
  <c r="B49" i="1"/>
  <c r="B48" i="1"/>
  <c r="K49" i="1"/>
  <c r="K48" i="1"/>
  <c r="H48" i="1"/>
  <c r="H49" i="1"/>
  <c r="B15" i="1"/>
  <c r="B16" i="1" s="1"/>
  <c r="B17" i="1" s="1"/>
  <c r="B18" i="1" s="1"/>
  <c r="B19" i="1" s="1"/>
  <c r="D19" i="1" s="1"/>
  <c r="G61" i="5" l="1"/>
  <c r="Q27" i="5"/>
  <c r="Q31" i="5"/>
  <c r="H61" i="5"/>
  <c r="Q30" i="5"/>
  <c r="Q28" i="5"/>
  <c r="E61" i="5"/>
  <c r="D61" i="5"/>
  <c r="F61" i="5"/>
  <c r="D69" i="1"/>
  <c r="D70" i="1" s="1"/>
  <c r="Q26" i="5"/>
  <c r="K49" i="5" s="1"/>
  <c r="Q29" i="5"/>
  <c r="C69" i="1"/>
  <c r="C70" i="1" s="1"/>
  <c r="B69" i="1"/>
  <c r="B70" i="1" s="1"/>
  <c r="E69" i="1"/>
  <c r="E70" i="1" s="1"/>
  <c r="H19" i="1"/>
  <c r="G19" i="1"/>
  <c r="C19" i="1"/>
  <c r="F19" i="1"/>
  <c r="I19" i="1"/>
  <c r="H44" i="5"/>
  <c r="I44" i="5"/>
  <c r="H49" i="5"/>
  <c r="G70" i="1" l="1"/>
  <c r="L70" i="1" s="1"/>
  <c r="C61" i="5"/>
  <c r="B6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17349</author>
  </authors>
  <commentList>
    <comment ref="N70" authorId="0" shapeId="0" xr:uid="{9EC01594-E40F-495C-99C1-512444965DA8}">
      <text>
        <r>
          <rPr>
            <b/>
            <sz val="9"/>
            <color indexed="81"/>
            <rFont val="Tahoma"/>
            <family val="2"/>
          </rPr>
          <t>17349:</t>
        </r>
        <r>
          <rPr>
            <sz val="9"/>
            <color indexed="81"/>
            <rFont val="Tahoma"/>
            <family val="2"/>
          </rPr>
          <t xml:space="preserve">
surface release mitigation is due to tubing ID restriction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17349</author>
  </authors>
  <commentList>
    <comment ref="N70" authorId="0" shapeId="0" xr:uid="{E4370426-8C9D-41A2-8239-509EC6E180E3}">
      <text>
        <r>
          <rPr>
            <b/>
            <sz val="9"/>
            <color indexed="81"/>
            <rFont val="Tahoma"/>
            <family val="2"/>
          </rPr>
          <t>17349:</t>
        </r>
        <r>
          <rPr>
            <sz val="9"/>
            <color indexed="81"/>
            <rFont val="Tahoma"/>
            <family val="2"/>
          </rPr>
          <t xml:space="preserve">
surface release mitigation is due to tubing ID restriction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17349</author>
  </authors>
  <commentList>
    <comment ref="N70" authorId="0" shapeId="0" xr:uid="{01B7DBD8-EF58-46AE-8012-1DC62D53C48A}">
      <text>
        <r>
          <rPr>
            <b/>
            <sz val="9"/>
            <color indexed="81"/>
            <rFont val="Tahoma"/>
            <family val="2"/>
          </rPr>
          <t>17349:</t>
        </r>
        <r>
          <rPr>
            <sz val="9"/>
            <color indexed="81"/>
            <rFont val="Tahoma"/>
            <family val="2"/>
          </rPr>
          <t xml:space="preserve">
surface release mitigation is due to tubing ID restriction</t>
        </r>
      </text>
    </comment>
  </commentList>
</comments>
</file>

<file path=xl/sharedStrings.xml><?xml version="1.0" encoding="utf-8"?>
<sst xmlns="http://schemas.openxmlformats.org/spreadsheetml/2006/main" count="3342" uniqueCount="1066">
  <si>
    <t>Safety</t>
  </si>
  <si>
    <t xml:space="preserve">VSL2012+N   =  VSL2012  x  1.0107N  </t>
  </si>
  <si>
    <t>where VSL2012+N  is the VSL value N years after 2012</t>
  </si>
  <si>
    <t>and VSL2012 is the VSL value in 2012 (i.e., $9.1 million).”</t>
  </si>
  <si>
    <t>Fatal</t>
  </si>
  <si>
    <t>Critical</t>
  </si>
  <si>
    <t>Severe</t>
  </si>
  <si>
    <t>Serious</t>
  </si>
  <si>
    <t>Moderate</t>
  </si>
  <si>
    <t>Minor</t>
  </si>
  <si>
    <t>Insignif</t>
  </si>
  <si>
    <t>Thousands of Dollars VSL equivalent</t>
  </si>
  <si>
    <t>Year</t>
  </si>
  <si>
    <t>Factor</t>
  </si>
  <si>
    <t>COF Safety Surface Release:</t>
  </si>
  <si>
    <t>AOF</t>
  </si>
  <si>
    <t>Heat Impact Radius</t>
  </si>
  <si>
    <t>tiers (ft), as applicable</t>
  </si>
  <si>
    <t>&gt;2640</t>
  </si>
  <si>
    <t>determine potential human population within applicable distance</t>
  </si>
  <si>
    <t>Note - add to table below a category less than minor - for insignificant</t>
  </si>
  <si>
    <t>consequence:</t>
  </si>
  <si>
    <t>"applicable distance" depends on AOF and heat impact radius</t>
  </si>
  <si>
    <t>heat impact radius is the 1% lethality in 30 seconds:  heat flux of 5000 BTU/hr-ft2</t>
  </si>
  <si>
    <t>if heat impact radius exceeds a tier threshold radius, count all potential persons within next tier threshold distance</t>
  </si>
  <si>
    <t>number of persons potentially within heat impact radius tier</t>
  </si>
  <si>
    <t>consequence potential range, high-low</t>
  </si>
  <si>
    <t>based on rates of fatalities-injuries-non-injuries in traffice accidents and pipeline incidents</t>
  </si>
  <si>
    <t>insignif</t>
  </si>
  <si>
    <t>mid (pipeline incidents avg)</t>
  </si>
  <si>
    <t>v. low (traffic accidents)</t>
  </si>
  <si>
    <t>low (pipe incidents</t>
  </si>
  <si>
    <t>avg lowest 5 yrs)</t>
  </si>
  <si>
    <t>avg of max five years)</t>
  </si>
  <si>
    <t xml:space="preserve">max (pipeline incidents </t>
  </si>
  <si>
    <t>per person VSL-basis</t>
  </si>
  <si>
    <t xml:space="preserve"> 2017, millions USD</t>
  </si>
  <si>
    <t>multiply number of people potentially inside a threshold radius zone based on well AOF at MOP by the hi-med-low VSL basis and frequencies</t>
  </si>
  <si>
    <t>Sum the values to get impact.</t>
  </si>
  <si>
    <t xml:space="preserve">Examples:  </t>
  </si>
  <si>
    <t>One person inside heat impact radius</t>
  </si>
  <si>
    <t>One person:</t>
  </si>
  <si>
    <t>v low</t>
  </si>
  <si>
    <t>low</t>
  </si>
  <si>
    <t>mid</t>
  </si>
  <si>
    <t>max</t>
  </si>
  <si>
    <t>Sum</t>
  </si>
  <si>
    <t>10*</t>
  </si>
  <si>
    <t>low occurs 24% of the time</t>
  </si>
  <si>
    <t>max occurs 23% of the time</t>
  </si>
  <si>
    <t>v low occurs 3% of the time</t>
  </si>
  <si>
    <t>mid occurs 50% of the time</t>
  </si>
  <si>
    <t>wtd</t>
  </si>
  <si>
    <t>For ten persons, multiply the above by 10 to get a weighted consequence equivalence of $65 million</t>
  </si>
  <si>
    <t>million</t>
  </si>
  <si>
    <t>minimum one worker per week 50 weeks per year, 20 min per visit</t>
  </si>
  <si>
    <t>Zero people, safety risk given surface fire = 0.002 times output below for one person</t>
  </si>
  <si>
    <t>equivalent dollars</t>
  </si>
  <si>
    <t>·         Ground level and Above Ground Level</t>
  </si>
  <si>
    <t>o   GHG Emissions</t>
  </si>
  <si>
    <t>o   Odorant</t>
  </si>
  <si>
    <t>o   Free Liquids</t>
  </si>
  <si>
    <t>o   Endangered Species</t>
  </si>
  <si>
    <t>o   Distance to populations and Surface Water</t>
  </si>
  <si>
    <t>·         Below Ground Level</t>
  </si>
  <si>
    <t>o   Methane migration</t>
  </si>
  <si>
    <t>o   Reservoir fluids other than methane</t>
  </si>
  <si>
    <t>o   USDW and USFW zones</t>
  </si>
  <si>
    <t>Safety - Subsurface Release</t>
  </si>
  <si>
    <t>COF Safety - SubSurface Release:</t>
  </si>
  <si>
    <t>30-day volume</t>
  </si>
  <si>
    <t>radius of impact</t>
  </si>
  <si>
    <t>tiers (miles)</t>
  </si>
  <si>
    <t>probability of impact</t>
  </si>
  <si>
    <t>total</t>
  </si>
  <si>
    <t>determine potential human population within each tier</t>
  </si>
  <si>
    <t>simplify using county, town, or township population density per sq mile</t>
  </si>
  <si>
    <t>mmcf</t>
  </si>
  <si>
    <t>10-100</t>
  </si>
  <si>
    <t>&lt;1</t>
  </si>
  <si>
    <t xml:space="preserve">1-10               </t>
  </si>
  <si>
    <t>100-1000</t>
  </si>
  <si>
    <t>volume index</t>
  </si>
  <si>
    <t>population density</t>
  </si>
  <si>
    <t>per sq mi</t>
  </si>
  <si>
    <t xml:space="preserve">10-100 </t>
  </si>
  <si>
    <t xml:space="preserve">100-1000 </t>
  </si>
  <si>
    <t xml:space="preserve">1000-10,000 </t>
  </si>
  <si>
    <t xml:space="preserve">&gt;10,000 </t>
  </si>
  <si>
    <t>1000-10,000</t>
  </si>
  <si>
    <t>&gt;10,000</t>
  </si>
  <si>
    <t>1-10</t>
  </si>
  <si>
    <t>population index</t>
  </si>
  <si>
    <t>consequence = volume index * population index *safety consequence severity-probability</t>
  </si>
  <si>
    <t>hi</t>
  </si>
  <si>
    <t>lo$</t>
  </si>
  <si>
    <t>hi$</t>
  </si>
  <si>
    <t>sum</t>
  </si>
  <si>
    <t>population density * radius</t>
  </si>
  <si>
    <t>r=1</t>
  </si>
  <si>
    <t>r=2</t>
  </si>
  <si>
    <t>max people</t>
  </si>
  <si>
    <t>r=3</t>
  </si>
  <si>
    <t>r=6</t>
  </si>
  <si>
    <t>r=9</t>
  </si>
  <si>
    <t xml:space="preserve">0.1-1 </t>
  </si>
  <si>
    <t>initial</t>
  </si>
  <si>
    <t xml:space="preserve">min value is </t>
  </si>
  <si>
    <t xml:space="preserve">max value of (volume index * population index) is </t>
  </si>
  <si>
    <t>wells</t>
  </si>
  <si>
    <t>.23 in larger area</t>
  </si>
  <si>
    <t>typical:  level 4-5 30-day volume and 10-100 people per sq mile = factor of 216-270</t>
  </si>
  <si>
    <t>distribution</t>
  </si>
  <si>
    <t xml:space="preserve">vol index </t>
  </si>
  <si>
    <t>pop index</t>
  </si>
  <si>
    <t>Equivalence of over $50B to $4B to several hundred $million to several tens of $millions to single millions or much less</t>
  </si>
  <si>
    <t>consequence equivalence per person</t>
  </si>
  <si>
    <t>7 tiers</t>
  </si>
  <si>
    <t>duration</t>
  </si>
  <si>
    <t>haz level/toxicity</t>
  </si>
  <si>
    <t>location</t>
  </si>
  <si>
    <t>area</t>
  </si>
  <si>
    <t>Soil, Soil productivity and Vegetation</t>
  </si>
  <si>
    <t>Water Quality and Quantity</t>
  </si>
  <si>
    <t>Aquatic life, Wildlife and their Habitat</t>
  </si>
  <si>
    <t>includes species at risk and species of special status and their related habitat</t>
  </si>
  <si>
    <t>includes wetlands</t>
  </si>
  <si>
    <t>Air Emissions</t>
  </si>
  <si>
    <t>Greenhouse Gas Emissions</t>
  </si>
  <si>
    <t>importance to local human populations</t>
  </si>
  <si>
    <t>reflect the approach and methodology outlined in the NEB Filing Manual (National Energy Board (NEB), 2016)</t>
  </si>
  <si>
    <t>assessment of environmental effects with potential to occur</t>
  </si>
  <si>
    <t>adopted by more than 100 countries (United States Environmental Protection Agency (USEPA), 2011)</t>
  </si>
  <si>
    <t>involves, but is not limited to, the following steps:</t>
  </si>
  <si>
    <t>determining the environmental valued components (VEC)</t>
  </si>
  <si>
    <t>identifying potential project-environment interactions</t>
  </si>
  <si>
    <t>determining temporal and spatial extent of interaction between a project and the VECs</t>
  </si>
  <si>
    <t>determination of the significance of those effects</t>
  </si>
  <si>
    <t>Valued Environmental Component</t>
  </si>
  <si>
    <t>Key Indicators</t>
  </si>
  <si>
    <t>Examples</t>
  </si>
  <si>
    <t>Rationale</t>
  </si>
  <si>
    <t>Soil, Soil Productivity and Vegetation</t>
  </si>
  <si>
    <t>Terrain Stability</t>
  </si>
  <si>
    <t>*Soil erosion</t>
  </si>
  <si>
    <t>*Changes in drainage characteristics in areas with potentially unstable terrain</t>
  </si>
  <si>
    <t>*May result in mass movements or landslides which could damage infrastructure or natural resources</t>
  </si>
  <si>
    <t>Soil Quality</t>
  </si>
  <si>
    <t>*Changes in aerial extent of productive soil</t>
  </si>
  <si>
    <t>*Changes in soil quality</t>
  </si>
  <si>
    <t>*Regulatory requirement to protect prime agricultural areas for long-term use for agriculture</t>
  </si>
  <si>
    <t>*Ecosystem conservation concerns</t>
  </si>
  <si>
    <t>*Importance of soil productivity in maintaining agricultural and forest capability.</t>
  </si>
  <si>
    <t>Vegetation</t>
  </si>
  <si>
    <t>*Introduction or increase of prohibited noxious or noxious weed species</t>
  </si>
  <si>
    <t>*Changes in area of suitable habitat or known occurrences of Listed Plant Species</t>
  </si>
  <si>
    <t>*Changes in area of vegetation in listed ecological communities</t>
  </si>
  <si>
    <t>*Changes in area or native species composition of terrestrial vegetation community type</t>
  </si>
  <si>
    <t>*Changes in areas of Old Growth Management (OGMAs)</t>
  </si>
  <si>
    <t>*Changes in area available of timber to harvest</t>
  </si>
  <si>
    <t>*Potential implications to wildlife habitat potential, species and community-level biodiversity *Potential increase in non-native species during re-vegetation</t>
  </si>
  <si>
    <t xml:space="preserve">*Use of plants for traditional purposes. </t>
  </si>
  <si>
    <t>*Regulatory requirement to control noxious weeds and eliminate prohibited noxious weeds</t>
  </si>
  <si>
    <t>*Potential adverse effect on federally listed plant species (regulatory requirement)</t>
  </si>
  <si>
    <t>*potential conflict with merchantable timber and local Forest Management Agreement (FMA) holder</t>
  </si>
  <si>
    <t>Contamination</t>
  </si>
  <si>
    <t>*contamination of soil associated with on-going and/or historical operational activities</t>
  </si>
  <si>
    <t>*Disturbance that exposes potential acid generating bedrock</t>
  </si>
  <si>
    <t>*Potential implications to human health, vegetation, soil productivity, wildlife and their habitat</t>
  </si>
  <si>
    <t>*Exposure of acid generating bedrock can lead to generation of acidic drainage and leaching of metals in watercourse/sensitive ecosystems</t>
  </si>
  <si>
    <t>Hydrology (Groundwater and Surface Water)</t>
  </si>
  <si>
    <t>*changes in natural flow patterns</t>
  </si>
  <si>
    <t>*changes to lateral and vertical stability</t>
  </si>
  <si>
    <t>*changes to flow rate</t>
  </si>
  <si>
    <t>*alteration may cause erosion and instability</t>
  </si>
  <si>
    <t>*maintain natural drainage patterns</t>
  </si>
  <si>
    <t>*consideration of regional users, and aquatic life</t>
  </si>
  <si>
    <t>Water Quality (Groundwater and Surface Water)</t>
  </si>
  <si>
    <t>*changes in water quality</t>
  </si>
  <si>
    <t>*contamination  associated with on-going and/or historical operational activities</t>
  </si>
  <si>
    <t>*potential public concern</t>
  </si>
  <si>
    <t>*Potential implications to human health, wildlife and their habitat</t>
  </si>
  <si>
    <t>Aquatic Life, Wildlife and their Habitat</t>
  </si>
  <si>
    <t>Fish Population and Habitat</t>
  </si>
  <si>
    <t>*change in abundance and distribution of fish populations (includes commercial, recreational and/or aboriginal species and species at risk)</t>
  </si>
  <si>
    <t>*changes in habitat quality and quantity</t>
  </si>
  <si>
    <t>*potential to cause serious harm to fish as defined under Federal Fisheries Act</t>
  </si>
  <si>
    <t>*Regional and potential Aboriginal concerns</t>
  </si>
  <si>
    <t>Wetlands Habitat</t>
  </si>
  <si>
    <t>*changes in number and area of wetlands</t>
  </si>
  <si>
    <t>*changes in wetland health and overall function</t>
  </si>
  <si>
    <t>*changes in wetland native species</t>
  </si>
  <si>
    <t>*introduction of prohibited noxious or noxious weed species into a wetland</t>
  </si>
  <si>
    <t>*Potential implications to wildlife habitat potential, plant species habitat potential and use of</t>
  </si>
  <si>
    <t>plants for traditional purposes.</t>
  </si>
  <si>
    <t>*Potential implications to species and community level biodiversity.</t>
  </si>
  <si>
    <t>*Potential implications to water quality and water attenuation within wetlands.</t>
  </si>
  <si>
    <t>Wildlife and their Habitat</t>
  </si>
  <si>
    <t>(including Species at Risk and/or Species of Special Status</t>
  </si>
  <si>
    <t>*Change in suitable habitat</t>
  </si>
  <si>
    <t>*Change in wildlife abundance</t>
  </si>
  <si>
    <t>*Change in movement patterns</t>
  </si>
  <si>
    <t>*Economic importance (i.e., hunting licenses), recreational importance, ecological importance (primary prey species), traditional importance</t>
  </si>
  <si>
    <t>Criteria Air Contaminant (CAC) Emissions</t>
  </si>
  <si>
    <t>*Change in ambient concentration of CACs (including nitrogen dioxide, sulphur dioxide, carbon monoxide, respirable particulate matter, total suspended particulates)</t>
  </si>
  <si>
    <t>*dust generation</t>
  </si>
  <si>
    <t>*compliance with provincial and federal ambient air quality standards and objectives</t>
  </si>
  <si>
    <t>*potential health implications</t>
  </si>
  <si>
    <t>Permitted Emissions Allowance</t>
  </si>
  <si>
    <t>*Exceeding a permitted emissions allowance</t>
  </si>
  <si>
    <t>Greenhouse Gas (GHG) Emissions</t>
  </si>
  <si>
    <t>*change in GHG emissions</t>
  </si>
  <si>
    <t>*change in carbon tax and/or cap&amp;trade program</t>
  </si>
  <si>
    <t>*increased energy consumption</t>
  </si>
  <si>
    <t>*regulatory requirement in NEB filing manual</t>
  </si>
  <si>
    <t>*Potential public concern related to climate change and energy usage</t>
  </si>
  <si>
    <t>When selecting a consequence category (Critical, Major, Serious and Minor) for a given potential environmental effect on a VEC or key indicator, an analysis of the significance/scale of the environmental effect is required</t>
  </si>
  <si>
    <t>Effects Criteria</t>
  </si>
  <si>
    <t>Definition</t>
  </si>
  <si>
    <t>General Environmental Description</t>
  </si>
  <si>
    <r>
      <t>Magnitude</t>
    </r>
    <r>
      <rPr>
        <vertAlign val="superscript"/>
        <sz val="11"/>
        <color theme="1"/>
        <rFont val="Calibri"/>
        <family val="2"/>
        <scheme val="minor"/>
      </rPr>
      <t>a</t>
    </r>
  </si>
  <si>
    <t>The intensity of the environmental effect, or a measure of the degree of change from existing (baseline) conditions</t>
  </si>
  <si>
    <r>
      <t>·</t>
    </r>
    <r>
      <rPr>
        <sz val="7"/>
        <color theme="1"/>
        <rFont val="Times New Roman"/>
        <family val="1"/>
      </rPr>
      <t xml:space="preserve">         </t>
    </r>
    <r>
      <rPr>
        <i/>
        <sz val="9"/>
        <color theme="1"/>
        <rFont val="Calibri"/>
        <family val="2"/>
        <scheme val="minor"/>
      </rPr>
      <t>Low</t>
    </r>
    <r>
      <rPr>
        <sz val="9"/>
        <color theme="1"/>
        <rFont val="Calibri"/>
        <family val="2"/>
        <scheme val="minor"/>
      </rPr>
      <t xml:space="preserve"> – effect may be detectable, but expected within the range of baseline/guideline values and/or within natural variability</t>
    </r>
  </si>
  <si>
    <r>
      <t>·</t>
    </r>
    <r>
      <rPr>
        <sz val="7"/>
        <color theme="1"/>
        <rFont val="Times New Roman"/>
        <family val="1"/>
      </rPr>
      <t xml:space="preserve">         </t>
    </r>
    <r>
      <rPr>
        <i/>
        <sz val="9"/>
        <color theme="1"/>
        <rFont val="Calibri"/>
        <family val="2"/>
        <scheme val="minor"/>
      </rPr>
      <t>Moderate</t>
    </r>
    <r>
      <rPr>
        <sz val="9"/>
        <color theme="1"/>
        <rFont val="Calibri"/>
        <family val="2"/>
        <scheme val="minor"/>
      </rPr>
      <t xml:space="preserve"> - effect is expected to be at or slightly exceeds baseline/guideline values but unlikely to pose a management concern</t>
    </r>
  </si>
  <si>
    <r>
      <t>·</t>
    </r>
    <r>
      <rPr>
        <sz val="7"/>
        <color theme="1"/>
        <rFont val="Times New Roman"/>
        <family val="1"/>
      </rPr>
      <t xml:space="preserve">         </t>
    </r>
    <r>
      <rPr>
        <i/>
        <sz val="9"/>
        <color theme="1"/>
        <rFont val="Calibri"/>
        <family val="2"/>
        <scheme val="minor"/>
      </rPr>
      <t>High</t>
    </r>
    <r>
      <rPr>
        <sz val="9"/>
        <color theme="1"/>
        <rFont val="Calibri"/>
        <family val="2"/>
        <scheme val="minor"/>
      </rPr>
      <t xml:space="preserve"> - effect is expected to exceed the limits of baseline/guideline values and can pose a serious risk and/or management concern</t>
    </r>
  </si>
  <si>
    <t>Geographic Extent</t>
  </si>
  <si>
    <t>The spatial extent or “footprint” over which the environmental effect will occur</t>
  </si>
  <si>
    <r>
      <t>·</t>
    </r>
    <r>
      <rPr>
        <sz val="7"/>
        <color theme="1"/>
        <rFont val="Times New Roman"/>
        <family val="1"/>
      </rPr>
      <t xml:space="preserve">         </t>
    </r>
    <r>
      <rPr>
        <i/>
        <sz val="9"/>
        <color theme="1"/>
        <rFont val="Calibri"/>
        <family val="2"/>
        <scheme val="minor"/>
      </rPr>
      <t>Local</t>
    </r>
    <r>
      <rPr>
        <sz val="9"/>
        <color theme="1"/>
        <rFont val="Calibri"/>
        <family val="2"/>
        <scheme val="minor"/>
      </rPr>
      <t xml:space="preserve"> - effect is confined to the localized area (ex: project/ facility/ROW footprint)</t>
    </r>
  </si>
  <si>
    <r>
      <t>·</t>
    </r>
    <r>
      <rPr>
        <sz val="7"/>
        <color theme="1"/>
        <rFont val="Times New Roman"/>
        <family val="1"/>
      </rPr>
      <t xml:space="preserve">         </t>
    </r>
    <r>
      <rPr>
        <i/>
        <sz val="9"/>
        <color theme="1"/>
        <rFont val="Calibri"/>
        <family val="2"/>
        <scheme val="minor"/>
      </rPr>
      <t xml:space="preserve">Regional </t>
    </r>
    <r>
      <rPr>
        <sz val="9"/>
        <color theme="1"/>
        <rFont val="Calibri"/>
        <family val="2"/>
        <scheme val="minor"/>
      </rPr>
      <t>- effect extends beyond the localized area (ex: outside the project/facility/ROW footprint)</t>
    </r>
  </si>
  <si>
    <r>
      <t>Duration / Reversibility</t>
    </r>
    <r>
      <rPr>
        <vertAlign val="superscript"/>
        <sz val="11"/>
        <color theme="1"/>
        <rFont val="Calibri"/>
        <family val="2"/>
        <scheme val="minor"/>
      </rPr>
      <t>a</t>
    </r>
  </si>
  <si>
    <r>
      <t>·</t>
    </r>
    <r>
      <rPr>
        <sz val="7"/>
        <color theme="1"/>
        <rFont val="Times New Roman"/>
        <family val="1"/>
      </rPr>
      <t xml:space="preserve">         </t>
    </r>
    <r>
      <rPr>
        <i/>
        <sz val="9"/>
        <color theme="1"/>
        <rFont val="Calibri"/>
        <family val="2"/>
        <scheme val="minor"/>
      </rPr>
      <t>Duration</t>
    </r>
    <r>
      <rPr>
        <sz val="9"/>
        <color theme="1"/>
        <rFont val="Calibri"/>
        <family val="2"/>
        <scheme val="minor"/>
      </rPr>
      <t xml:space="preserve"> is the period of time over which the environmental effect will be present. This includes time required for the effect to be reversed</t>
    </r>
  </si>
  <si>
    <r>
      <t>·</t>
    </r>
    <r>
      <rPr>
        <sz val="7"/>
        <color theme="1"/>
        <rFont val="Times New Roman"/>
        <family val="1"/>
      </rPr>
      <t xml:space="preserve">         </t>
    </r>
    <r>
      <rPr>
        <i/>
        <sz val="9"/>
        <color theme="1"/>
        <rFont val="Calibri"/>
        <family val="2"/>
        <scheme val="minor"/>
      </rPr>
      <t>Reversibility</t>
    </r>
    <r>
      <rPr>
        <sz val="9"/>
        <color theme="1"/>
        <rFont val="Calibri"/>
        <family val="2"/>
        <scheme val="minor"/>
      </rPr>
      <t xml:space="preserve"> is an indication of the potential for the recovery of the VEC/Key Indicator from the environmental effect. Reversible implied that the environmental effect will not result in a permanent change of state of the VEC/Key Indicator compared to similar environments not influenced by the environmental effect. For effects that are permanent, the effect is determined to be irreversible</t>
    </r>
  </si>
  <si>
    <r>
      <t>·</t>
    </r>
    <r>
      <rPr>
        <sz val="7"/>
        <color theme="1"/>
        <rFont val="Times New Roman"/>
        <family val="1"/>
      </rPr>
      <t xml:space="preserve">         </t>
    </r>
    <r>
      <rPr>
        <i/>
        <sz val="9"/>
        <color theme="1"/>
        <rFont val="Calibri"/>
        <family val="2"/>
        <scheme val="minor"/>
      </rPr>
      <t>Short-term</t>
    </r>
    <r>
      <rPr>
        <sz val="9"/>
        <color theme="1"/>
        <rFont val="Calibri"/>
        <family val="2"/>
        <scheme val="minor"/>
      </rPr>
      <t>- effect occurs only during construction/operation and is reversible</t>
    </r>
  </si>
  <si>
    <r>
      <t>·</t>
    </r>
    <r>
      <rPr>
        <sz val="7"/>
        <color theme="1"/>
        <rFont val="Times New Roman"/>
        <family val="1"/>
      </rPr>
      <t xml:space="preserve">         </t>
    </r>
    <r>
      <rPr>
        <i/>
        <sz val="9"/>
        <color theme="1"/>
        <rFont val="Calibri"/>
        <family val="2"/>
        <scheme val="minor"/>
      </rPr>
      <t>Medium-term</t>
    </r>
    <r>
      <rPr>
        <sz val="9"/>
        <color theme="1"/>
        <rFont val="Calibri"/>
        <family val="2"/>
        <scheme val="minor"/>
      </rPr>
      <t xml:space="preserve"> - effect occurs during construction/operation and is reversible at abandonment</t>
    </r>
  </si>
  <si>
    <r>
      <t>·</t>
    </r>
    <r>
      <rPr>
        <sz val="7"/>
        <color theme="1"/>
        <rFont val="Times New Roman"/>
        <family val="1"/>
      </rPr>
      <t xml:space="preserve">         </t>
    </r>
    <r>
      <rPr>
        <i/>
        <sz val="9"/>
        <color theme="1"/>
        <rFont val="Calibri"/>
        <family val="2"/>
        <scheme val="minor"/>
      </rPr>
      <t>Long-term</t>
    </r>
    <r>
      <rPr>
        <sz val="9"/>
        <color theme="1"/>
        <rFont val="Calibri"/>
        <family val="2"/>
        <scheme val="minor"/>
      </rPr>
      <t xml:space="preserve"> - effect occurs during construction/operations and persists beyond abandonment, but is reversible</t>
    </r>
  </si>
  <si>
    <r>
      <t>·</t>
    </r>
    <r>
      <rPr>
        <sz val="7"/>
        <color theme="1"/>
        <rFont val="Times New Roman"/>
        <family val="1"/>
      </rPr>
      <t xml:space="preserve">         </t>
    </r>
    <r>
      <rPr>
        <i/>
        <sz val="9"/>
        <color theme="1"/>
        <rFont val="Calibri"/>
        <family val="2"/>
        <scheme val="minor"/>
      </rPr>
      <t>Permanent</t>
    </r>
    <r>
      <rPr>
        <sz val="9"/>
        <color theme="1"/>
        <rFont val="Calibri"/>
        <family val="2"/>
        <scheme val="minor"/>
      </rPr>
      <t xml:space="preserve"> - the effect occurs during construction/operation and is irreversible</t>
    </r>
  </si>
  <si>
    <t xml:space="preserve">The assessed significance of the adverse of effect on a VEC/key indicator uses a combination of magnitude, geographic extent and duration/reversibility to determine the  consequence </t>
  </si>
  <si>
    <t>Magnitude/Extent</t>
  </si>
  <si>
    <t>High - Regional</t>
  </si>
  <si>
    <t>High - Local</t>
  </si>
  <si>
    <t>Moderate - Regional</t>
  </si>
  <si>
    <t>Moderate - Local</t>
  </si>
  <si>
    <t>Low - Regional</t>
  </si>
  <si>
    <t>Low - Local</t>
  </si>
  <si>
    <t>Short-Term</t>
  </si>
  <si>
    <t>Medium-Term</t>
  </si>
  <si>
    <t>Long-Term</t>
  </si>
  <si>
    <t>Permanent</t>
  </si>
  <si>
    <t>Duration/Reversibility</t>
  </si>
  <si>
    <t>($X - $XX)</t>
  </si>
  <si>
    <t>($XX - $XXM)</t>
  </si>
  <si>
    <t>Major</t>
  </si>
  <si>
    <t>($XXM - $XXM)</t>
  </si>
  <si>
    <t>($XXM - $XXXM)</t>
  </si>
  <si>
    <t>terrain stability</t>
  </si>
  <si>
    <t>units</t>
  </si>
  <si>
    <t>$ Cdn</t>
  </si>
  <si>
    <t>cu meter</t>
  </si>
  <si>
    <t>med</t>
  </si>
  <si>
    <t>factor</t>
  </si>
  <si>
    <t>size m3</t>
  </si>
  <si>
    <t>Equation 1. Terrain Stability Key Indicator Consequence Value</t>
  </si>
  <si>
    <t>Where:</t>
  </si>
  <si>
    <t xml:space="preserve">TSCV </t>
  </si>
  <si>
    <t>Terrain Stability Key Indicator Consequence Value (2016 CAD)</t>
  </si>
  <si>
    <t>TSCC</t>
  </si>
  <si>
    <t>Terrain Stability Consequence Costs (2016 CAD/m3)</t>
  </si>
  <si>
    <t>GEI</t>
  </si>
  <si>
    <t>geographic extent of effect (m3)</t>
  </si>
  <si>
    <t>M</t>
  </si>
  <si>
    <t>Magnitude multiplier (unit less)</t>
  </si>
  <si>
    <t>Terrain Stability Consequence Costs</t>
  </si>
  <si>
    <t>Magnitude Multiplier</t>
  </si>
  <si>
    <t>Consequence Value</t>
  </si>
  <si>
    <t>(2016 CAD)</t>
  </si>
  <si>
    <t>Terrain Stability Key Indicator Consequence Value Range</t>
  </si>
  <si>
    <t>MINOR</t>
  </si>
  <si>
    <t>Low: 0.1</t>
  </si>
  <si>
    <t>Local: 500</t>
  </si>
  <si>
    <t>$8,700 - $435,000</t>
  </si>
  <si>
    <t>Regional: 25000</t>
  </si>
  <si>
    <t>Moderate: 0.2</t>
  </si>
  <si>
    <t>SERIOUS</t>
  </si>
  <si>
    <t>$8,700 – $870,000</t>
  </si>
  <si>
    <t>High: 1</t>
  </si>
  <si>
    <t>MAJOR</t>
  </si>
  <si>
    <t>$17,400 – $4.4M</t>
  </si>
  <si>
    <t>CRITICAL</t>
  </si>
  <si>
    <t>$87,000 - $4.4M</t>
  </si>
  <si>
    <r>
      <t>(2016 CAD/m</t>
    </r>
    <r>
      <rPr>
        <b/>
        <vertAlign val="superscript"/>
        <sz val="9"/>
        <color theme="1"/>
        <rFont val="Calibri"/>
        <family val="2"/>
        <scheme val="minor"/>
      </rPr>
      <t>3</t>
    </r>
    <r>
      <rPr>
        <b/>
        <sz val="9"/>
        <color theme="1"/>
        <rFont val="Calibri"/>
        <family val="2"/>
        <scheme val="minor"/>
      </rPr>
      <t>)</t>
    </r>
  </si>
  <si>
    <r>
      <t>(m</t>
    </r>
    <r>
      <rPr>
        <b/>
        <vertAlign val="superscript"/>
        <sz val="9"/>
        <color theme="1"/>
        <rFont val="Calibri"/>
        <family val="2"/>
        <scheme val="minor"/>
      </rPr>
      <t>3</t>
    </r>
    <r>
      <rPr>
        <b/>
        <sz val="9"/>
        <color theme="1"/>
        <rFont val="Calibri"/>
        <family val="2"/>
        <scheme val="minor"/>
      </rPr>
      <t>)</t>
    </r>
  </si>
  <si>
    <t>CPC</t>
  </si>
  <si>
    <t>Contamination Program Costs (2016 CAD)</t>
  </si>
  <si>
    <t>geographic extent of effect (ha)</t>
  </si>
  <si>
    <t>Magnitude multiplier (% affected/ha)</t>
  </si>
  <si>
    <t>Soils Contamination Key Indicator Consequence Value (2016 CAD)</t>
  </si>
  <si>
    <t xml:space="preserve">SCCV </t>
  </si>
  <si>
    <t>Soils Contamination Key Indicator Consequence Value</t>
  </si>
  <si>
    <t>Contamination Program Costs</t>
  </si>
  <si>
    <t>(% affected/ha)</t>
  </si>
  <si>
    <t>(ha)</t>
  </si>
  <si>
    <t>Gas/Energy Operations Contamination Key Indicator Consequence Value Range</t>
  </si>
  <si>
    <t>Low: 10%</t>
  </si>
  <si>
    <t>Local: 4</t>
  </si>
  <si>
    <t>$195,000 - $980,000</t>
  </si>
  <si>
    <t>Regional: 20</t>
  </si>
  <si>
    <t>Moderate: 20%</t>
  </si>
  <si>
    <t>$301,000 – $3.0M</t>
  </si>
  <si>
    <t>High: 100%</t>
  </si>
  <si>
    <t>$1.2M – $29.0M</t>
  </si>
  <si>
    <t>$24.0M - $121M</t>
  </si>
  <si>
    <t>Soils Contamination</t>
  </si>
  <si>
    <t>Equation 5 Hydrology and Erosion Control Consequence Value</t>
  </si>
  <si>
    <t xml:space="preserve">HECCV </t>
  </si>
  <si>
    <t>Hydrology-Erosion Control Consequence Value (2016 CAD)</t>
  </si>
  <si>
    <t>HECMC</t>
  </si>
  <si>
    <t>Hydrology-Erosion Control Mitigation Costs (2016 CAD/hectare)</t>
  </si>
  <si>
    <r>
      <t>GE</t>
    </r>
    <r>
      <rPr>
        <vertAlign val="subscript"/>
        <sz val="10"/>
        <color theme="1"/>
        <rFont val="Calibri"/>
        <family val="2"/>
        <scheme val="minor"/>
      </rPr>
      <t>I</t>
    </r>
  </si>
  <si>
    <t>geographic extent of effect (hectares)</t>
  </si>
  <si>
    <t>Magnitude multiplier (unitless)</t>
  </si>
  <si>
    <r>
      <t>Duration</t>
    </r>
    <r>
      <rPr>
        <vertAlign val="subscript"/>
        <sz val="10"/>
        <color theme="1"/>
        <rFont val="Calibri"/>
        <family val="2"/>
        <scheme val="minor"/>
      </rPr>
      <t>I</t>
    </r>
  </si>
  <si>
    <t>duration of effect (years)</t>
  </si>
  <si>
    <t>Lifetime</t>
  </si>
  <si>
    <t xml:space="preserve">Average lifetime of erosion control mitigation (years) </t>
  </si>
  <si>
    <t>Erosion Control Mitigative Costs</t>
  </si>
  <si>
    <t>(2016 CAD/ha)</t>
  </si>
  <si>
    <t>(Ha)</t>
  </si>
  <si>
    <t>Duration/ Lifetime</t>
  </si>
  <si>
    <t>Erosion Control Key Indicator Consequence Value Range</t>
  </si>
  <si>
    <t>Short-Term: 1</t>
  </si>
  <si>
    <t>$300 - $1,496</t>
  </si>
  <si>
    <t>Medium-Term: 1</t>
  </si>
  <si>
    <t>Long-Term: 5</t>
  </si>
  <si>
    <t>$600 – $30,000</t>
  </si>
  <si>
    <t>Permanent: 100</t>
  </si>
  <si>
    <t>$3,000 – $150,000</t>
  </si>
  <si>
    <t>$75,000 - $1.5M</t>
  </si>
  <si>
    <t>Hydrology and Erosion:</t>
  </si>
  <si>
    <t>The costs of water diversion methods relating to the redirection of a watercourse</t>
  </si>
  <si>
    <t>Equation 6 Water Diversion Consequence Value</t>
  </si>
  <si>
    <t xml:space="preserve">WDCV </t>
  </si>
  <si>
    <t>Water Diversion Consequence Value (2016 CAD)</t>
  </si>
  <si>
    <t>WDC</t>
  </si>
  <si>
    <t>Water Diversion Costs (2016 CAD/hectare)</t>
  </si>
  <si>
    <t>MC</t>
  </si>
  <si>
    <t xml:space="preserve">maintenance costs for water diversion (2016 CAD/year) </t>
  </si>
  <si>
    <t>Maintenance Costs</t>
  </si>
  <si>
    <t>Water Diversion Key Indicator Consequence Value Range</t>
  </si>
  <si>
    <t>$55,000 - $275,000</t>
  </si>
  <si>
    <t>Local: 1</t>
  </si>
  <si>
    <t>$97,000 - $33.6M</t>
  </si>
  <si>
    <t>Permanent: 1000</t>
  </si>
  <si>
    <t>Regional: 1</t>
  </si>
  <si>
    <t>Long-Term: 50</t>
  </si>
  <si>
    <t>$5.4M</t>
  </si>
  <si>
    <t>$5.5M – $38.9M</t>
  </si>
  <si>
    <t>$282M</t>
  </si>
  <si>
    <t>$284M - $315M</t>
  </si>
  <si>
    <t>Equation 7 Aquatic Life, Wildlife and their Habitat VEC Consequence Value</t>
  </si>
  <si>
    <t xml:space="preserve">ECV </t>
  </si>
  <si>
    <t>Aquatic Life, Wildlife and their Habitat VEC Consequence Value (2016 CAD)</t>
  </si>
  <si>
    <t>NCV</t>
  </si>
  <si>
    <t>natural capital value (2016 CAD/hectares/year)</t>
  </si>
  <si>
    <t>RP</t>
  </si>
  <si>
    <t>rebound period (years)</t>
  </si>
  <si>
    <t>Ecosystem NCV</t>
  </si>
  <si>
    <t>Duration</t>
  </si>
  <si>
    <t>(years)</t>
  </si>
  <si>
    <t>Rebound Period</t>
  </si>
  <si>
    <t>Aquatic Life, Wildlife and their Habitat VEC Consequence Value Average Range</t>
  </si>
  <si>
    <t>Agricultural: $7,389</t>
  </si>
  <si>
    <t>$40,000 - $1.3M</t>
  </si>
  <si>
    <t>Rivers &amp; Lakes: $67,229</t>
  </si>
  <si>
    <t>$630,000 – $7.7M</t>
  </si>
  <si>
    <t>$2.9M – $33.5M</t>
  </si>
  <si>
    <t>$54.0M - $504M</t>
  </si>
  <si>
    <t>aquatic life and habitat</t>
  </si>
  <si>
    <t>Equation 8 Air Emissions Consequence Value</t>
  </si>
  <si>
    <t xml:space="preserve">AECV </t>
  </si>
  <si>
    <t>Air Emissions Consequence Value (2016 CAD)</t>
  </si>
  <si>
    <t>PC</t>
  </si>
  <si>
    <t>Penalty Costs (2016 CAD/day)</t>
  </si>
  <si>
    <t>duration of effect (days)</t>
  </si>
  <si>
    <t>Penalty Costs</t>
  </si>
  <si>
    <t>(2016 CAD/day)</t>
  </si>
  <si>
    <t>Duration (Days)</t>
  </si>
  <si>
    <t>Air Emissions Consequence Value Range</t>
  </si>
  <si>
    <t>Low: 10</t>
  </si>
  <si>
    <t>$0 - $5,000</t>
  </si>
  <si>
    <t>Medium-Term: 14</t>
  </si>
  <si>
    <t>$50,000 - $300,000</t>
  </si>
  <si>
    <t>Long-Term: 60</t>
  </si>
  <si>
    <t>Moderate: 100</t>
  </si>
  <si>
    <t>$100,000 - $3,000,000</t>
  </si>
  <si>
    <t>High: 200</t>
  </si>
  <si>
    <t>$6.0M</t>
  </si>
  <si>
    <t>air emissions</t>
  </si>
  <si>
    <t>Equation 9 GHG Consequence Value</t>
  </si>
  <si>
    <t xml:space="preserve">GHGCV </t>
  </si>
  <si>
    <t>GHG Consequence Value (2016 CAD)</t>
  </si>
  <si>
    <t>GHGe</t>
  </si>
  <si>
    <t>GHG Emissions (tonnes CO2e/year)</t>
  </si>
  <si>
    <t>CC</t>
  </si>
  <si>
    <t>Carbon Cost (2016 CAD/tonnes CO2e per year)</t>
  </si>
  <si>
    <t>greenhouse gas emissions</t>
  </si>
  <si>
    <t>GHG Emissions</t>
  </si>
  <si>
    <t>(tonnes CO2e/year)</t>
  </si>
  <si>
    <t>Duration (Yrs)</t>
  </si>
  <si>
    <t>GHG Consequence Value Range</t>
  </si>
  <si>
    <t>Low: $2.5</t>
  </si>
  <si>
    <t>Short-Term: 0.04</t>
  </si>
  <si>
    <t>$0 - $1,200</t>
  </si>
  <si>
    <t>Medium-Term: 0.2</t>
  </si>
  <si>
    <t>$21,000 - $6.3M</t>
  </si>
  <si>
    <t>Moderate: $15</t>
  </si>
  <si>
    <t>$230,000 - $150M</t>
  </si>
  <si>
    <t>High: $30</t>
  </si>
  <si>
    <t>$900M</t>
  </si>
  <si>
    <t>Valued Environmental Component and Key Indicators</t>
  </si>
  <si>
    <t>Consequence Value Range (2016 CAD)</t>
  </si>
  <si>
    <t>Range</t>
  </si>
  <si>
    <t>Average</t>
  </si>
  <si>
    <t>$8,700 - $870,000</t>
  </si>
  <si>
    <t>$17,400 – $4.5M</t>
  </si>
  <si>
    <t>$1.2M</t>
  </si>
  <si>
    <t>$87,000 – $4.5M</t>
  </si>
  <si>
    <t>$2.4M</t>
  </si>
  <si>
    <t>$301,000 - $3.0M</t>
  </si>
  <si>
    <t>$1.5M</t>
  </si>
  <si>
    <t>$9.6M</t>
  </si>
  <si>
    <t>$24.0M – $121M</t>
  </si>
  <si>
    <t>$72.4M</t>
  </si>
  <si>
    <t>Hydrology – Erosion Control</t>
  </si>
  <si>
    <t>$300 - $1,500</t>
  </si>
  <si>
    <t>$600 - $30,000</t>
  </si>
  <si>
    <t>$75,000 – $1.5M</t>
  </si>
  <si>
    <t>Hydrology – Water Diversion</t>
  </si>
  <si>
    <t>$5.5M - $38.9M</t>
  </si>
  <si>
    <t>$13.5M</t>
  </si>
  <si>
    <t>$307M</t>
  </si>
  <si>
    <t>All Key Indicators</t>
  </si>
  <si>
    <t>$40,000-$1.3M</t>
  </si>
  <si>
    <t>$4.2M</t>
  </si>
  <si>
    <t>$2.9M - $33.5M</t>
  </si>
  <si>
    <t>$18.2M</t>
  </si>
  <si>
    <t>$279M</t>
  </si>
  <si>
    <t>$100,000 - $3.0M</t>
  </si>
  <si>
    <t>$1.3M</t>
  </si>
  <si>
    <t>$2.1M</t>
  </si>
  <si>
    <t>$37.9M</t>
  </si>
  <si>
    <t>$0 - $700,000</t>
  </si>
  <si>
    <t>$700,000 – $5.5M</t>
  </si>
  <si>
    <t>$5.5M - $40M</t>
  </si>
  <si>
    <t>$40M - &gt;$900M</t>
  </si>
  <si>
    <t>Proposed Environmental Consequence Matrix Scaling – Gas Operations</t>
  </si>
  <si>
    <t>7-tier</t>
  </si>
  <si>
    <t>small</t>
  </si>
  <si>
    <t>non-sensitive</t>
  </si>
  <si>
    <t>nil</t>
  </si>
  <si>
    <t>level 1</t>
  </si>
  <si>
    <t>level 2</t>
  </si>
  <si>
    <t>level 3</t>
  </si>
  <si>
    <t>a few months</t>
  </si>
  <si>
    <t>damage to one cultural site</t>
  </si>
  <si>
    <t>moderate threat/impact, reversible</t>
  </si>
  <si>
    <t>immediately correctable</t>
  </si>
  <si>
    <t>negligible</t>
  </si>
  <si>
    <t>temp loss of habitat to a protected species</t>
  </si>
  <si>
    <t>up to 2 yrs</t>
  </si>
  <si>
    <t>signif threat/impact, but reversible</t>
  </si>
  <si>
    <t>level 4</t>
  </si>
  <si>
    <t>level 5</t>
  </si>
  <si>
    <t>2 - 10 years</t>
  </si>
  <si>
    <t>destruction of regionally important cultural site</t>
  </si>
  <si>
    <t>toxic release w/ signif threat/impact, reversible over a longer time frame</t>
  </si>
  <si>
    <t>level 6</t>
  </si>
  <si>
    <t>direct harm to a single individual of a protected species</t>
  </si>
  <si>
    <t>direct harm to multiple individuals of a protected species</t>
  </si>
  <si>
    <t>11-100 years</t>
  </si>
  <si>
    <t>elimination of a signicant population of a protected species</t>
  </si>
  <si>
    <t>toxic, acute, long-term impact</t>
  </si>
  <si>
    <t>toxic, immediate, acute, irreversible</t>
  </si>
  <si>
    <t>&gt;100 yrs</t>
  </si>
  <si>
    <t>destruction of nationally important cultural site</t>
  </si>
  <si>
    <t>destruction of globally important cultural site</t>
  </si>
  <si>
    <t>elimination of a species</t>
  </si>
  <si>
    <t>level 7</t>
  </si>
  <si>
    <t>$10B</t>
  </si>
  <si>
    <t>$1B</t>
  </si>
  <si>
    <t>$100M</t>
  </si>
  <si>
    <t>$10M</t>
  </si>
  <si>
    <t>$1M</t>
  </si>
  <si>
    <t>$100K</t>
  </si>
  <si>
    <t>$10K</t>
  </si>
  <si>
    <t>max value</t>
  </si>
  <si>
    <t xml:space="preserve">Soil Contamination </t>
  </si>
  <si>
    <t xml:space="preserve">Water Quality </t>
  </si>
  <si>
    <t xml:space="preserve">Hydrology - Erosion </t>
  </si>
  <si>
    <t>Hydrology - Water Diversion</t>
  </si>
  <si>
    <t>Water Quality</t>
  </si>
  <si>
    <t>VEC</t>
  </si>
  <si>
    <t>percent of acreage in an area affected</t>
  </si>
  <si>
    <t>m3 affected</t>
  </si>
  <si>
    <t>local vs. regional</t>
  </si>
  <si>
    <t>Nil</t>
  </si>
  <si>
    <t>Immediate Correctable</t>
  </si>
  <si>
    <t>Months</t>
  </si>
  <si>
    <t xml:space="preserve"> up to 2 yrs</t>
  </si>
  <si>
    <t>2-10 yrs</t>
  </si>
  <si>
    <t>Long-Term (11-100 yrs)</t>
  </si>
  <si>
    <t>&gt;100 yrs, Permanent</t>
  </si>
  <si>
    <t>Isolated - very small</t>
  </si>
  <si>
    <t>Small - local, controlled</t>
  </si>
  <si>
    <t>Low - local, multiple properties</t>
  </si>
  <si>
    <t>Magnitude/Extent/Max Value</t>
  </si>
  <si>
    <t>greenhouse gas</t>
  </si>
  <si>
    <t>minor</t>
  </si>
  <si>
    <t>major</t>
  </si>
  <si>
    <t>serious</t>
  </si>
  <si>
    <t>critical</t>
  </si>
  <si>
    <t>tonnes CO2e/yr</t>
  </si>
  <si>
    <t>low magnitude</t>
  </si>
  <si>
    <t>moderate magnitude</t>
  </si>
  <si>
    <t>high magnitude</t>
  </si>
  <si>
    <t>air emissions - other contaminants</t>
  </si>
  <si>
    <t>penalty $/day CAD</t>
  </si>
  <si>
    <t>$/tonne CO2 (CAD)</t>
  </si>
  <si>
    <t>Natural capital (aquatic life and water quality)</t>
  </si>
  <si>
    <t>Land Use/Ecosystem</t>
  </si>
  <si>
    <t>Total Natural Capital (2016 CAD/hectare/year)</t>
  </si>
  <si>
    <t>Count of Studies</t>
  </si>
  <si>
    <t>Minimum</t>
  </si>
  <si>
    <t>Median</t>
  </si>
  <si>
    <t>Maximum</t>
  </si>
  <si>
    <t>Agricultural</t>
  </si>
  <si>
    <t>Wetlands</t>
  </si>
  <si>
    <t>Natural Land</t>
  </si>
  <si>
    <t>Rivers &amp; Lakes (Waterbody)</t>
  </si>
  <si>
    <t>local = 4 hectares</t>
  </si>
  <si>
    <t>regional = 20 ha</t>
  </si>
  <si>
    <t>duration multipliers:  short and medium term = 1; long term = 50; extreme = 1000</t>
  </si>
  <si>
    <t>magnitude multipliers: low = 0.1, moderate = 0.2, high = 1</t>
  </si>
  <si>
    <t>Environmental:  evaluate potential environmental effects from surface or subsurface release.  NOTE: see safety, subsurface release, for probability of radial extent</t>
  </si>
  <si>
    <t xml:space="preserve"> - if the well fails and leaks methane for up to 30 days, worst case is volume converted to metric tons</t>
  </si>
  <si>
    <t>PHMSA estimated social costs of climate-related impacts of the Aliso Canyon incident at $122.9 million dollars: release of up to 109,000 metric tons, $1,128 per metric ton. Costs were restated from 2012 dollars to 2015 dollars using the GDP deflator ($1,100 × 1.04335)</t>
  </si>
  <si>
    <t>Gas releases: generally reversible; might upset local water supplies if based on groundwater wells; might kill vegetation and agricultural products, generally short duration of lasting impact; can affect soil stability; could carry or create avenues for other contaminants to flow; generally lower impact on fresh water and animal species</t>
  </si>
  <si>
    <t xml:space="preserve">Soil Stability </t>
  </si>
  <si>
    <t>Water Supply Security</t>
  </si>
  <si>
    <t>Greenhouse Gas emissions social costs</t>
  </si>
  <si>
    <t>Calculation Basis</t>
  </si>
  <si>
    <t>Fluid Flow/Transport of Toxins/Pollutants</t>
  </si>
  <si>
    <t>Factors</t>
  </si>
  <si>
    <t>2.471 acres per hectare</t>
  </si>
  <si>
    <t>max $/acre</t>
  </si>
  <si>
    <t>1.31 Cdn$ per USD</t>
  </si>
  <si>
    <t>Vegetation Health and Soil Productivity</t>
  </si>
  <si>
    <t>30 day flow volume, subsurface impact range probability, potential for gas and water to form slurries and create slumps, mud pots, heaves, or other instability.  Cost is for remediation, earthwork, etc. Use topsoil and substrate types and hydrology to determine liquefaction potential in the event of a gas release:  hard rock or clay substrate, probability of consequence =.1; mixed layer silt/clay, probability of consequence = .3; sandy soils, probability .5-.8, loamy soils, probability .5-.1</t>
  </si>
  <si>
    <t>30 day flow volume and subsurface impact range probability; based on natural vegetation (lower unless unique species) vs. agriculture (higher depending on crop values).  Cost is for damages.</t>
  </si>
  <si>
    <t>min</t>
  </si>
  <si>
    <t>methane mcf</t>
  </si>
  <si>
    <t>tons methane</t>
  </si>
  <si>
    <t>30 day flow volume, calculate tons and multiply by $1128/ton of methane</t>
  </si>
  <si>
    <t>30 day flow volume, subsurface impact range probability, number of water wells (order of magnitude) in impact area. Cost per impacted acre assumes water well adapters or replacement, ongoing testing, drilling of vent and monitor wells, and other measures.  Multipliers:  1 or fewer water wells in the area, multiply by .01; 2-10 water wells in area of impact, multiply by .1; 10-100 water wells in area of impact, multiply by 1; more than 100 water wells in area of impact, multiply by 10, then multiply by a factor of 10 for each additional factor of ten for number of water wells in the area of impact</t>
  </si>
  <si>
    <t>per 1 mile radius of impact</t>
  </si>
  <si>
    <t>per event site</t>
  </si>
  <si>
    <t>potential and magnitude multiplier (.01 if not expected to have anything but gas and some non-resident water; .1 if some higher TDS water; 10 for potential for BTX and chloride or other known contaminants in the area).  Cost is for investigation, remediation/cleanup, reclamation, monitoring</t>
  </si>
  <si>
    <t>per Bcf emitted (max); per mmcf emitted (min)</t>
  </si>
  <si>
    <t>minimum one worker/week 50 wks/yr, 20 min/visit</t>
  </si>
  <si>
    <t>Table below multiplies the vlow-low-mid-max distributions by the VSL-based cost for the injury severity level indicated</t>
  </si>
  <si>
    <t>minimum value P=0 (allowance for temp. visitation)</t>
  </si>
  <si>
    <t xml:space="preserve">Summary - within area of impact, calculate per person consequence </t>
  </si>
  <si>
    <t>wtd avg $ equivalence (VSL-based) per person</t>
  </si>
  <si>
    <t xml:space="preserve">regulatory actions/fines/cost of new regs </t>
  </si>
  <si>
    <t xml:space="preserve"> on-site and off-site property damage [incl. damage to adjacent eqpt and further business/service impacts] </t>
  </si>
  <si>
    <t>degradation of product/service quality</t>
  </si>
  <si>
    <t>relocation/reimbursement</t>
  </si>
  <si>
    <t xml:space="preserve">loss of goodwill/public reputation </t>
  </si>
  <si>
    <t xml:space="preserve"> litigation costs</t>
  </si>
  <si>
    <t>increased cost of insurance</t>
  </si>
  <si>
    <t>business interruption/service interruption cost, loss of market share/loss of customers</t>
  </si>
  <si>
    <t>ability to compensate for flow/service loss</t>
  </si>
  <si>
    <t>cost of cascading business risk [interruption of flow/feed to the next point curtails that activity as well]</t>
  </si>
  <si>
    <t>deployment costs for emergency response personnel</t>
  </si>
  <si>
    <t>emergency response and incident management cost</t>
  </si>
  <si>
    <t xml:space="preserve">equipment repair and restoration </t>
  </si>
  <si>
    <t>product lost during leak</t>
  </si>
  <si>
    <t>low estimate</t>
  </si>
  <si>
    <t>high estimate</t>
  </si>
  <si>
    <t>other (list and estimate)</t>
  </si>
  <si>
    <t>total estimate low/high</t>
  </si>
  <si>
    <t>Cost Category</t>
  </si>
  <si>
    <t>mid-range est</t>
  </si>
  <si>
    <t>Guidance:   lo-mid-hi should be operator's estimate of P95 (low) P50 (mid) and P5 (high) - in other words, a cost consequence experienced in 95% or 5% of events</t>
  </si>
  <si>
    <t>Operators may skew the distribution and add columns for identifying the P-values.  For example, an operator may choose to indicate the mid-range P-value is something between P30 and P70</t>
  </si>
  <si>
    <t>The idea is to widely bracket potential consequence values, using a logarithmic or related power-law basis.  By doing this, the operator is estimating that the potential consequence, say, for equipment repair and restoration is, in probably 95% of cases, at least $1,000,000 and at most (in 95% of cases) no more than $10,000,000, with an estimated most likely value of around $3,000,000.</t>
  </si>
  <si>
    <t xml:space="preserve">final  </t>
  </si>
  <si>
    <t>index</t>
  </si>
  <si>
    <t xml:space="preserve">population </t>
  </si>
  <si>
    <t>2017 VSL-based $</t>
  </si>
  <si>
    <t>v. low</t>
  </si>
  <si>
    <t>any injury</t>
  </si>
  <si>
    <t>Valued Environmental Component, or VEC</t>
  </si>
  <si>
    <t>$1128/metric ton (PHMSA IFR RIA)</t>
  </si>
  <si>
    <t>potential for $1 million per event site, multiplied by contaminant type and release volume index</t>
  </si>
  <si>
    <t>thousands to tens of thousands of dollars per acre impacted per year, multiplied by usage density (water well count as a proxy) - rough average of ~$2100/acre/yr</t>
  </si>
  <si>
    <t>thousands to tens of thousands of $ per acre impacted (probable range $2000-$13000/acre/yr); requires review of land use in the area</t>
  </si>
  <si>
    <t>Min-Max Estimates</t>
  </si>
  <si>
    <t>tens of $/cubic yd up to ~($100/cubic yd) * 30 day vol factor * 11,060  [note, 11060 yds is perimeter of a circle of 1 mile radius]; note multiplier for soil/rock type in substrate</t>
  </si>
  <si>
    <t xml:space="preserve">volume  </t>
  </si>
  <si>
    <t>P distribution</t>
  </si>
  <si>
    <t>if not default</t>
  </si>
  <si>
    <t>30-day volume                        radius of impact</t>
  </si>
  <si>
    <t xml:space="preserve">max </t>
  </si>
  <si>
    <t>per Bcf emitted and total effect on 2010 acres (circle with r=1 mile); minimum is for less than 10 mmcf</t>
  </si>
  <si>
    <t>Cost of lost/damaged homes</t>
  </si>
  <si>
    <t>Home air/local water source monitoring</t>
  </si>
  <si>
    <t>Injury/Illness Costs</t>
  </si>
  <si>
    <t>Fatalities</t>
  </si>
  <si>
    <t>Greenhouse emissions</t>
  </si>
  <si>
    <t>Wildlife/endangered species impact</t>
  </si>
  <si>
    <t>Soil impact</t>
  </si>
  <si>
    <t>already addressed in the Safety tab</t>
  </si>
  <si>
    <t>already addressed in the Environmental tab</t>
  </si>
  <si>
    <t>Clean up of toxic release/clean up of pollution</t>
  </si>
  <si>
    <t>contamination of water supply</t>
  </si>
  <si>
    <t>min/max basis</t>
  </si>
  <si>
    <t>&gt;10</t>
  </si>
  <si>
    <t>min 1 mmcf emitted, max 1-10 Bcf emitted, cost is per mile radius</t>
  </si>
  <si>
    <t>cost per mile radius</t>
  </si>
  <si>
    <t>cost per Bcf emitted and per mile radius</t>
  </si>
  <si>
    <t>Operator example:</t>
  </si>
  <si>
    <t xml:space="preserve">P95 (low) </t>
  </si>
  <si>
    <t>P50 (mid)</t>
  </si>
  <si>
    <t>P5 (high)</t>
  </si>
  <si>
    <t>impact area multiplier?</t>
  </si>
  <si>
    <t>Total</t>
  </si>
  <si>
    <t>Adjustments</t>
  </si>
  <si>
    <t>Wtd 2017 VSL-based $</t>
  </si>
  <si>
    <t xml:space="preserve">30d-vol index </t>
  </si>
  <si>
    <t>value</t>
  </si>
  <si>
    <t xml:space="preserve">  insert volume index and population index</t>
  </si>
  <si>
    <t>P95 (low)</t>
  </si>
  <si>
    <t>Sum (Millions)</t>
  </si>
  <si>
    <t>CALCULATION EXAMPLE:</t>
  </si>
  <si>
    <t>Suggestions:  P95 should be &lt;0.1 to 0.5 of P50</t>
  </si>
  <si>
    <t>see inputs at cells in orange below</t>
  </si>
  <si>
    <t>Instructions:</t>
  </si>
  <si>
    <t>find volume index based on 30-day release potential</t>
  </si>
  <si>
    <t>find/estimate population density in the local vicinity (averaged over an 8-10 mile radius)</t>
  </si>
  <si>
    <t xml:space="preserve">Operators may range P95 (low) to P5 (high) </t>
  </si>
  <si>
    <t>Safety - Surface Release and Fire</t>
  </si>
  <si>
    <t>using diameter and pressure:</t>
  </si>
  <si>
    <t>using AOF at MOP:</t>
  </si>
  <si>
    <t>API 581:  consequence area (sq ft) = a*X^b</t>
  </si>
  <si>
    <t>where X=mass rate in lb/sec</t>
  </si>
  <si>
    <t>find/estimate population within the smallest radius (in feet) that fully encompasses the heat impact radius zone</t>
  </si>
  <si>
    <t>line/casing diameter (inches)</t>
  </si>
  <si>
    <t>max operating pressure (psi)</t>
  </si>
  <si>
    <t>AOF at MOP (Mmcf/d)</t>
  </si>
  <si>
    <t>Methane lbs/sec</t>
  </si>
  <si>
    <t>Consequence Area (sq ft)</t>
  </si>
  <si>
    <t>Consequence Radius (ft)</t>
  </si>
  <si>
    <t>Resulting consequence value (green), can be considered an approximate mid-point at a P50 or P30-P70 value</t>
  </si>
  <si>
    <t xml:space="preserve">Adjusted </t>
  </si>
  <si>
    <t>Radius (ft)</t>
  </si>
  <si>
    <t>psi-diameter based radius (ft)</t>
  </si>
  <si>
    <t>Safety factor adjustment for elliptical heat impact and combustible non-methane components</t>
  </si>
  <si>
    <t>calculate/compare heat impact radius:  max of well AOF at MOP, connecting line diameter and MOP, or casing size and MOP</t>
  </si>
  <si>
    <t>constants used assume methane and 4000 BTU/hr-ft2</t>
  </si>
  <si>
    <t>NOTE:  an ellipse with a/b=.25 gives a long axis of 2*radius of equivalent-area circle</t>
  </si>
  <si>
    <t>NOTE:  for C3+ components, some of which will produce more heat, operators can additionally increase the SF</t>
  </si>
  <si>
    <t>operator selects safety factor (SF) for non-circular (elliptical heat flux pattern with equivalent area</t>
  </si>
  <si>
    <t>provide inputs at cells in orange below; green cells are outputs</t>
  </si>
  <si>
    <t>Select radius below that encompasses the selected heat-impact consequence radius:</t>
  </si>
  <si>
    <t>operator's estimate of number of persons living within the tier radius</t>
  </si>
  <si>
    <t>minimum value if no residents (annual presence of maintenance workers)</t>
  </si>
  <si>
    <t>tier radius (operator select)</t>
  </si>
  <si>
    <t>P5 (max)</t>
  </si>
  <si>
    <t>in millions:</t>
  </si>
  <si>
    <t>Safety consequences (based on injury severity potential and distribution):</t>
  </si>
  <si>
    <t>P95</t>
  </si>
  <si>
    <t>P5</t>
  </si>
  <si>
    <t>Service, Reliability, Financial Consequence Potential</t>
  </si>
  <si>
    <t>Consequence of Failure Booklet of Worksheets</t>
  </si>
  <si>
    <t>Safety-SurfaceFire Calc</t>
  </si>
  <si>
    <t xml:space="preserve">Safety - Subsurface </t>
  </si>
  <si>
    <t>Environmental Calc</t>
  </si>
  <si>
    <t>Service-Reliability-Financial</t>
  </si>
  <si>
    <t>Go to the following worksheets, follow the instructions and enter the information required in the orange cells</t>
  </si>
  <si>
    <t>Go to the summary sheet and identify the main consequence driver areas</t>
  </si>
  <si>
    <t>Use this information in planning risk management plans</t>
  </si>
  <si>
    <t>follow the spreadsheet to get an estimate and range of safety-related consequences due to heat impact</t>
  </si>
  <si>
    <t>if population is zero:</t>
  </si>
  <si>
    <t>Instructions:  see guidance notes below the table and provide estimates for the applicable categories listed in the table.  Do not add categories already covered by safety and/or environmental worksheets</t>
  </si>
  <si>
    <t>Environmental Consequences Worksheet</t>
  </si>
  <si>
    <t>Instructions:  provide approximations/evaluations for the valued environmental components listed in the table below.</t>
  </si>
  <si>
    <t>Valuations can be developed (esitmated) given the basis for calculations described in the table.</t>
  </si>
  <si>
    <t>Operators may change the basis for a particular area or site but note the change in the basis.</t>
  </si>
  <si>
    <t>See the volume index table and methane converter table at the bottom of this sheet</t>
  </si>
  <si>
    <t>Operators might find that many of the line items have similar values and ranges for many wells.  Operators can choose to use default values that are appropriate to their areas/systems for many of the line items in the table</t>
  </si>
  <si>
    <t>r=.685*(p*d^2)^0.5    (assumes 5000 BTU/hr-ft2, 1% lethality 30 second escape time)</t>
  </si>
  <si>
    <t>such that both well line and well are flowing (thus PIR can apply)</t>
  </si>
  <si>
    <t xml:space="preserve">consider that in many cases of a surface release, we could have a break between wellhead and line </t>
  </si>
  <si>
    <t>observation wells</t>
  </si>
  <si>
    <t xml:space="preserve">wells that are very weak - might also look at pipeline connection size, use the smaller of the diameters, either well tubing/casing or flowline </t>
  </si>
  <si>
    <t>operator inputs ranges based on calculated number in cell b46</t>
  </si>
  <si>
    <t>operators can change the distribution weightings</t>
  </si>
  <si>
    <t>Suggestions:  P5 should be at least 2-3X P50 and up to 10x P50</t>
  </si>
  <si>
    <r>
      <rPr>
        <b/>
        <sz val="11"/>
        <color theme="1"/>
        <rFont val="Calibri"/>
        <family val="2"/>
        <scheme val="minor"/>
      </rPr>
      <t>Table 2</t>
    </r>
    <r>
      <rPr>
        <sz val="11"/>
        <color theme="1"/>
        <rFont val="Calibri"/>
        <family val="2"/>
        <scheme val="minor"/>
      </rPr>
      <t xml:space="preserve"> below multiplies the vlow-low-mid-max distributions by the VSL-based cost for the injury severity level indicated</t>
    </r>
  </si>
  <si>
    <t>hard-coded per person minimum case of worker visits and no permanent residents</t>
  </si>
  <si>
    <t>hard-coded min-mid-max based on Table 2 below</t>
  </si>
  <si>
    <r>
      <rPr>
        <b/>
        <sz val="11"/>
        <color theme="1"/>
        <rFont val="Calibri"/>
        <family val="2"/>
        <scheme val="minor"/>
      </rPr>
      <t xml:space="preserve">Table 1 </t>
    </r>
    <r>
      <rPr>
        <sz val="11"/>
        <color theme="1"/>
        <rFont val="Calibri"/>
        <family val="2"/>
        <scheme val="minor"/>
      </rPr>
      <t>- basic input from industry statistics (pipeline) and US Govt "VSL":</t>
    </r>
  </si>
  <si>
    <t>- however, operators can change the distribution in cells beneath Table 2</t>
  </si>
  <si>
    <t>sum (millions)</t>
  </si>
  <si>
    <t>sum all</t>
  </si>
  <si>
    <t>comparison using low-high estimates for wtd VSL basis:</t>
  </si>
  <si>
    <t>high</t>
  </si>
  <si>
    <t>vlow</t>
  </si>
  <si>
    <t>NOTE:</t>
  </si>
  <si>
    <t>mid-hi</t>
  </si>
  <si>
    <t>P70</t>
  </si>
  <si>
    <t>P35</t>
  </si>
  <si>
    <t xml:space="preserve">using a four point distribution and values in Table 1 above, </t>
  </si>
  <si>
    <t xml:space="preserve">operators could infer an alternative distribution </t>
  </si>
  <si>
    <t>COF = (COFsafety + COFenvironment + COFfinancial )*credit</t>
  </si>
  <si>
    <t>examples of specific company frameworks - #1</t>
  </si>
  <si>
    <t>examples of specific company frameworks - #2</t>
  </si>
  <si>
    <t>Summary of example Environmental Consequence matrix</t>
  </si>
  <si>
    <t>example company #1</t>
  </si>
  <si>
    <t>example company #2</t>
  </si>
  <si>
    <t>lo-mid-hi should be operator's estimate of P95 (low) P50 (mid) and P5 (high) - in other words, a cost consequence experienced in 95% or 5% of events.  Operators may skew the distribution and add columns for identifying the P-values.  For example, an operator may choose to indicate the mid-range P-value is something between P30 and P70</t>
  </si>
  <si>
    <t>The idea is to widely bracket potential consequence values, using a logarithmic or related power-law basis.  By doing this, the operator is estimating that the potential consequence, say, for equipment repair and restoration is, in probably 95% of cases, at least $xxx and at most (in 95% of cases) no more than $xxxxx, with an estimated most likely value of around $xxxxx.</t>
  </si>
  <si>
    <t>Guidance:   operators might have internal/corporate means of estimating environmental consequences and can range accordingly.  In the absence of clear company methods for estimates of potential environmental consequences, the values on this sheet can be used, and ranged as per the additional guidance below</t>
  </si>
  <si>
    <t>severe-fatal</t>
  </si>
  <si>
    <t>serious-fatal</t>
  </si>
  <si>
    <t>critical-fatal</t>
  </si>
  <si>
    <t>VSL wtd on k65</t>
  </si>
  <si>
    <t>Range of consequence levels for each</t>
  </si>
  <si>
    <t>Intermediate Consequence Case Characteristics</t>
  </si>
  <si>
    <t>Low Consequence Case Characteristics</t>
  </si>
  <si>
    <t>High Consequence Case Characteristics</t>
  </si>
  <si>
    <t>Four well construction styles, already ranged with respect to LOFI</t>
  </si>
  <si>
    <t>9-mile radius population density</t>
  </si>
  <si>
    <t>AOF (MMcfd) at MOP (used MOP of 2000)</t>
  </si>
  <si>
    <t>30-day flow volume (MMcf)</t>
  </si>
  <si>
    <t>Applicable Radius</t>
  </si>
  <si>
    <t>100+ (use 300)</t>
  </si>
  <si>
    <t>over 1000 (use 3000)</t>
  </si>
  <si>
    <t>300 or less (use 90)</t>
  </si>
  <si>
    <t>301-1000 or less (use 600)</t>
  </si>
  <si>
    <t>25-99 (use 60)</t>
  </si>
  <si>
    <t>30 or less (use 10)</t>
  </si>
  <si>
    <t>32-36' (api 581) or 153-310' CFER</t>
  </si>
  <si>
    <t>153-198' (api 581) or 153-310' CFER</t>
  </si>
  <si>
    <t>73-89' (api 581) or 153-310' CFER</t>
  </si>
  <si>
    <t>Use JITF COFI  Tier</t>
  </si>
  <si>
    <t>safety factor</t>
  </si>
  <si>
    <t>2.2 (2.2*89=196)</t>
  </si>
  <si>
    <t>2 (2*36 = 72)</t>
  </si>
  <si>
    <t>2.5 (2.5*198=485)</t>
  </si>
  <si>
    <t>Nearby Population Density people/sq mi</t>
  </si>
  <si>
    <t>Avg Pop inside radius of concern</t>
  </si>
  <si>
    <t>Service/Reliability/Financial</t>
  </si>
  <si>
    <t>Surf Release/Fire Safety</t>
  </si>
  <si>
    <t>Subsurf Release Safety</t>
  </si>
  <si>
    <t>&lt;10'</t>
  </si>
  <si>
    <t>2 (2*10=20)</t>
  </si>
  <si>
    <t>&lt;1 (use 1)</t>
  </si>
  <si>
    <t>Safety - surface fire</t>
  </si>
  <si>
    <t>Environmental - Surface Fire</t>
  </si>
  <si>
    <t>Financial - Surface Fire</t>
  </si>
  <si>
    <t>Safety Subsurf/Extend Surf</t>
  </si>
  <si>
    <t>Enviro - Subsurf/Ext Surf</t>
  </si>
  <si>
    <t>Estimate - Surface Fire Cons</t>
  </si>
  <si>
    <t>Estimate - Subsurf/Ext Surf</t>
  </si>
  <si>
    <t>Loss of Control Event During Workover - high consequence case</t>
  </si>
  <si>
    <t>Loss of Control Event During Workover - low consequence case</t>
  </si>
  <si>
    <t>Loss of Control Event During Workover - min consequence case</t>
  </si>
  <si>
    <t>5 represents number of workers on site</t>
  </si>
  <si>
    <t>Mitigation Value Cases</t>
  </si>
  <si>
    <t>see mitigaton routine below</t>
  </si>
  <si>
    <t>Mitigation Assumptions:</t>
  </si>
  <si>
    <t>lo</t>
  </si>
  <si>
    <t>Surface Event, Fire:  Low Reliability</t>
  </si>
  <si>
    <t>Surface Event, Fire:  Mid Reliability</t>
  </si>
  <si>
    <t>Surface Event, Fire:  Hi Reliability</t>
  </si>
  <si>
    <t>GHG emissions social costs - low Rel</t>
  </si>
  <si>
    <t>GHG emissions social costs -hi Rel</t>
  </si>
  <si>
    <t>Fluid Flow/Toxins/Pollutants - low Rel</t>
  </si>
  <si>
    <t>Fluid Flow/Toxins/Pollutants -mid Rel</t>
  </si>
  <si>
    <t>Fluid Flow/Toxins/Pollutants -hi Rel</t>
  </si>
  <si>
    <t>Service/Financial - low Rel</t>
  </si>
  <si>
    <t>Service/Financial - mid Rel</t>
  </si>
  <si>
    <t>Service/Financial - hi Rel</t>
  </si>
  <si>
    <t>low reliability</t>
  </si>
  <si>
    <t>mid reliability</t>
  </si>
  <si>
    <t>hi reliability</t>
  </si>
  <si>
    <t>All Consequences-lowRel</t>
  </si>
  <si>
    <t>All Consequences-midRel</t>
  </si>
  <si>
    <t>All Consequences-hiRel</t>
  </si>
  <si>
    <t>Total Consequences Est</t>
  </si>
  <si>
    <t>Surface Events-lowRel</t>
  </si>
  <si>
    <t>Surface Events-midRel</t>
  </si>
  <si>
    <t>Surface Events-hiRel</t>
  </si>
  <si>
    <t>Service/Fin - low Rel</t>
  </si>
  <si>
    <t>Service/Fin mid Rel</t>
  </si>
  <si>
    <t>Service/Fin - hi Rel</t>
  </si>
  <si>
    <t>low Rel</t>
  </si>
  <si>
    <t>mid Rel</t>
  </si>
  <si>
    <t>hi Rel</t>
  </si>
  <si>
    <t>Subsurface Events</t>
  </si>
  <si>
    <t>set as Not Applicable</t>
  </si>
  <si>
    <t>set as Not Applicable*</t>
  </si>
  <si>
    <t>*although a downhole event could occur during workover, we judge this to be a very low likelihood event and thus consequences minimally additive to this scenario</t>
  </si>
  <si>
    <t>Loss of Control Event During Workover - intmd consequence case</t>
  </si>
  <si>
    <t>Financial - Subsurf/Ext Surf</t>
  </si>
  <si>
    <t>safety pct</t>
  </si>
  <si>
    <t>enviro pct</t>
  </si>
  <si>
    <t>service pct</t>
  </si>
  <si>
    <t>Estimate - Surface LOC Event Consequences</t>
  </si>
  <si>
    <t>Workover Loss of Containment Event COFI</t>
  </si>
  <si>
    <t>same as base COFI cases</t>
  </si>
  <si>
    <t>but add 5 persons for rig site workers</t>
  </si>
  <si>
    <t>Well Type</t>
  </si>
  <si>
    <t>Minimum LOFI (failure/well-yr)</t>
  </si>
  <si>
    <t>Maximum LOFI (failure/well-yr)</t>
  </si>
  <si>
    <t>problem well</t>
  </si>
  <si>
    <t>ideal well</t>
  </si>
  <si>
    <t>hi case</t>
  </si>
  <si>
    <t>intmd case</t>
  </si>
  <si>
    <t>low case</t>
  </si>
  <si>
    <t>min case</t>
  </si>
  <si>
    <t>LOFImax x COFI</t>
  </si>
  <si>
    <t>LOFImin x COFI</t>
  </si>
  <si>
    <t>Annualized estimated risk</t>
  </si>
  <si>
    <t>loRel</t>
  </si>
  <si>
    <t>midRel</t>
  </si>
  <si>
    <t>hiRel</t>
  </si>
  <si>
    <t>MAX LOFI</t>
  </si>
  <si>
    <t>conseqnce</t>
  </si>
  <si>
    <t>What part of the remaining risk is safety? (or what part of</t>
  </si>
  <si>
    <t>the risk reduced is safety?)</t>
  </si>
  <si>
    <t>MIN LOFI</t>
  </si>
  <si>
    <t>Risk Reduction Values in blue</t>
  </si>
  <si>
    <t>Risk Reduction Total</t>
  </si>
  <si>
    <t>Safety Portion</t>
  </si>
  <si>
    <t>Environmental Portion</t>
  </si>
  <si>
    <t>Service/Financial/Reliability Portion</t>
  </si>
  <si>
    <t xml:space="preserve">Fsv-intervention  </t>
  </si>
  <si>
    <t>LOC tbghi</t>
  </si>
  <si>
    <t>LOCwlhi</t>
  </si>
  <si>
    <t>LOCtbglo</t>
  </si>
  <si>
    <t>LOCwllo</t>
  </si>
  <si>
    <t>Workover Related Annualized COFI</t>
  </si>
  <si>
    <t>LOC tbghi (max values)</t>
  </si>
  <si>
    <t>Workover Risk - COFI Estimates</t>
  </si>
  <si>
    <t>Workover LOF:  Fsv-intervention x InterventionLOC</t>
  </si>
  <si>
    <r>
      <rPr>
        <b/>
        <sz val="11"/>
        <color theme="1"/>
        <rFont val="Calibri"/>
        <family val="2"/>
        <scheme val="minor"/>
      </rPr>
      <t>MIN LOFI</t>
    </r>
    <r>
      <rPr>
        <sz val="11"/>
        <color theme="1"/>
        <rFont val="Calibri"/>
        <family val="2"/>
        <scheme val="minor"/>
      </rPr>
      <t xml:space="preserve"> Case - Safety Consequence Reduction - annualized expected value</t>
    </r>
  </si>
  <si>
    <r>
      <rPr>
        <b/>
        <sz val="11"/>
        <color theme="1"/>
        <rFont val="Calibri"/>
        <family val="2"/>
        <scheme val="minor"/>
      </rPr>
      <t>MIN LOFI</t>
    </r>
    <r>
      <rPr>
        <sz val="11"/>
        <color theme="1"/>
        <rFont val="Calibri"/>
        <family val="2"/>
        <scheme val="minor"/>
      </rPr>
      <t xml:space="preserve"> Case - Safety AND Enviro Cons Reduction - annualized expected value</t>
    </r>
  </si>
  <si>
    <r>
      <rPr>
        <b/>
        <sz val="11"/>
        <color theme="1"/>
        <rFont val="Calibri"/>
        <family val="2"/>
        <scheme val="minor"/>
      </rPr>
      <t>MAX LOFI</t>
    </r>
    <r>
      <rPr>
        <sz val="11"/>
        <color theme="1"/>
        <rFont val="Calibri"/>
        <family val="2"/>
        <scheme val="minor"/>
      </rPr>
      <t xml:space="preserve"> Case - Safety AND Enviro Cons Reduction - annualized expected value</t>
    </r>
  </si>
  <si>
    <r>
      <rPr>
        <b/>
        <sz val="11"/>
        <color theme="1"/>
        <rFont val="Calibri"/>
        <family val="2"/>
        <scheme val="minor"/>
      </rPr>
      <t>MAX LOFI</t>
    </r>
    <r>
      <rPr>
        <sz val="11"/>
        <color theme="1"/>
        <rFont val="Calibri"/>
        <family val="2"/>
        <scheme val="minor"/>
      </rPr>
      <t xml:space="preserve"> Case - Safety Consequence Reduction - annualized expected value</t>
    </r>
  </si>
  <si>
    <t>Workover Related Annualized COFI, assuming ALL re-entries with increased risk due to complexity</t>
  </si>
  <si>
    <t>including all re-entries due to complexity:</t>
  </si>
  <si>
    <t>High population - low rate, big volume Consequence Case Characteristics</t>
  </si>
  <si>
    <t>moderately low population -high rate high volume Consequence Case Characteristics</t>
  </si>
  <si>
    <t>very low population - high rate high volume consequence case</t>
  </si>
  <si>
    <t>use 300</t>
  </si>
  <si>
    <t>Intermediate population - low rate, big volume Consequence Case Characteristics</t>
  </si>
  <si>
    <t xml:space="preserve">radius </t>
  </si>
  <si>
    <t>sq mi</t>
  </si>
  <si>
    <t>fractional sq mi</t>
  </si>
  <si>
    <t>population inside radius tier</t>
  </si>
  <si>
    <t>radius tier area sq ft</t>
  </si>
  <si>
    <t>sq mi area in sq ft</t>
  </si>
  <si>
    <t>Cook Co Illinois</t>
  </si>
  <si>
    <t>pop</t>
  </si>
  <si>
    <t>pop per sq mi</t>
  </si>
  <si>
    <t>Macomb Co MI</t>
  </si>
  <si>
    <t>Washington Co PA</t>
  </si>
  <si>
    <t>Washington DC</t>
  </si>
  <si>
    <t>Orange Co CA</t>
  </si>
  <si>
    <t>Los Angeles CA</t>
  </si>
  <si>
    <t>Buffalo NY</t>
  </si>
  <si>
    <t>Detroit MI</t>
  </si>
  <si>
    <t>Chicago IL</t>
  </si>
  <si>
    <t>Canton OH</t>
  </si>
  <si>
    <t>Stark Co OH</t>
  </si>
  <si>
    <t>Manhattan</t>
  </si>
  <si>
    <t>Hong Kong</t>
  </si>
  <si>
    <t>Kalkaska Co Mi</t>
  </si>
  <si>
    <t>Presque Isle Co MI</t>
  </si>
  <si>
    <t>Montmorency Co MI</t>
  </si>
  <si>
    <t>Wellington Twp, MI</t>
  </si>
  <si>
    <t>Yellowhead co Alberta</t>
  </si>
  <si>
    <t>Contra Costa Co CA</t>
  </si>
  <si>
    <t>Alameda Co CA</t>
  </si>
  <si>
    <t>San Joaquin Co CA</t>
  </si>
  <si>
    <t>avg inc rate</t>
  </si>
  <si>
    <t>round/avg</t>
  </si>
  <si>
    <t>changed distribution scheme 1-22-20 (aligned to approximate PL 20-yr min dist)</t>
  </si>
  <si>
    <t>changed to 3% (DOT), 2020 values</t>
  </si>
  <si>
    <t>1 in 730 chance of critical injury</t>
  </si>
  <si>
    <t>1 in 1300 chance of fatality</t>
  </si>
  <si>
    <t>1 in 50 chance of minor to moderate injury</t>
  </si>
  <si>
    <t>1 in 1 chance of no or insignif injury</t>
  </si>
  <si>
    <t>1 in 90 chance of serious injury</t>
  </si>
  <si>
    <t>1 in 290 chance of severe injury</t>
  </si>
  <si>
    <t xml:space="preserve">changed distribution </t>
  </si>
  <si>
    <t>92-115' (api 581) or 225-450' CFER</t>
  </si>
  <si>
    <t>use 2400</t>
  </si>
  <si>
    <t>2.5 (2.5*115 = 288); 2.5*225=563</t>
  </si>
  <si>
    <t>CA</t>
  </si>
  <si>
    <t>case 1</t>
  </si>
  <si>
    <t>case 2</t>
  </si>
  <si>
    <t>case 3</t>
  </si>
  <si>
    <t>case 4</t>
  </si>
  <si>
    <t>Well Type Case 1</t>
  </si>
  <si>
    <t>Well Type Case 2</t>
  </si>
  <si>
    <t>Well Type Case 3</t>
  </si>
  <si>
    <t>Well Type Case 4</t>
  </si>
  <si>
    <t>Well Type Case 1 LOFI = .009742</t>
  </si>
  <si>
    <t>Well Type Case 2 LOFI = .002363</t>
  </si>
  <si>
    <t>Well Type Case 3 LOFI = .000302</t>
  </si>
  <si>
    <t>Well Type Case 4 LOFI = .000022</t>
  </si>
  <si>
    <t>LOFI = ~1.0000</t>
  </si>
  <si>
    <t>LOFI = .000003</t>
  </si>
  <si>
    <t>Well Type Case 1 LOFI = .461212</t>
  </si>
  <si>
    <t>Well Type Case 2 LOFI = .010505</t>
  </si>
  <si>
    <t>Well Type Case 3 LOFI = .003446</t>
  </si>
  <si>
    <t>Well Type Case 4 LOFI = .000523</t>
  </si>
  <si>
    <t>miles from well</t>
  </si>
  <si>
    <t>Injury Level</t>
  </si>
  <si>
    <t>None-Insignif</t>
  </si>
  <si>
    <t>Probability</t>
  </si>
  <si>
    <t xml:space="preserve">Safety </t>
  </si>
  <si>
    <t xml:space="preserve">Environmental </t>
  </si>
  <si>
    <t xml:space="preserve">Financial </t>
  </si>
  <si>
    <t>ALL CONSEQUENCES REDUCTION, NET OF WO AND MGMT FACTORS AND ADD'L WELLS RISK</t>
  </si>
  <si>
    <t xml:space="preserve">GRI says 1992 workovers on all wells:  </t>
  </si>
  <si>
    <t>workovers</t>
  </si>
  <si>
    <t>1 workover/30 years (prob min, depends on price)</t>
  </si>
  <si>
    <t>unconventional wells, 1 workover every 10 years (probable minimum)</t>
  </si>
  <si>
    <t>GRI 1996 - 2.454 Mcf/workover conventional wells; 36.65 Mcf/completion conventional wells; 9175 Mcf/completion or workover unconventional wells</t>
  </si>
  <si>
    <t>2.04 scf/hr/component</t>
  </si>
  <si>
    <t>hrs/yr</t>
  </si>
  <si>
    <t>scf/yr</t>
  </si>
  <si>
    <t>.17/scf/hr/component</t>
  </si>
  <si>
    <t>GHG $/yr</t>
  </si>
  <si>
    <t>added for leakage:</t>
  </si>
  <si>
    <t>0.5% of volume and</t>
  </si>
  <si>
    <t>0.1 MMcf/yr</t>
  </si>
  <si>
    <t>BO duration, wtd financials calc (using offshore BO duration)</t>
  </si>
  <si>
    <t>blowout duration</t>
  </si>
  <si>
    <t>&lt;1 hr</t>
  </si>
  <si>
    <t>1 hr-6 hrs</t>
  </si>
  <si>
    <t>6hr- 24h</t>
  </si>
  <si>
    <t>1.01d-7d</t>
  </si>
  <si>
    <t>7.01d-30d</t>
  </si>
  <si>
    <t>sum tot</t>
  </si>
  <si>
    <t>use 13%</t>
  </si>
  <si>
    <t>Workover Risk - Add for worker injuries</t>
  </si>
  <si>
    <t>frac'l value</t>
  </si>
  <si>
    <t>$2017 - 685,405 per injury</t>
  </si>
  <si>
    <t>injury rates per well drilled or worked over-min .01</t>
  </si>
  <si>
    <t>GHG per workover:  average .0367mmcf*19.3*47</t>
  </si>
  <si>
    <t>GHG add, per add'l wo</t>
  </si>
  <si>
    <t>LOCtbg (min vaues)</t>
  </si>
  <si>
    <t>average midpt</t>
  </si>
  <si>
    <t>w/ Mid tbg annualized WO risk for all reentries</t>
  </si>
  <si>
    <t>W/Mid tbg ann net wo risk +wo inj (subtract from risk reduction)</t>
  </si>
  <si>
    <t>w/Mid tbg WO risk all reenty+mid hum/org  factors+other d/r costs</t>
  </si>
  <si>
    <t>w/Mid tbg WO risk all reenty+mid hum/org factors</t>
  </si>
  <si>
    <t>w/Mid tbg WO risk all reenty+mid hum/org factors+other d/r costs</t>
  </si>
  <si>
    <t>workover freq</t>
  </si>
  <si>
    <t>non blow-out injury consequence per add'l wo: lo-med-hi</t>
  </si>
  <si>
    <t>Consequence Case Assumptions for Battelle TP Studies</t>
  </si>
  <si>
    <t>vlo</t>
  </si>
  <si>
    <t>Residual Consequences: vlo</t>
  </si>
  <si>
    <t>Deliv reduction</t>
  </si>
  <si>
    <t>Functional Rel, TP system/yr, cells p66-69:</t>
  </si>
  <si>
    <t>Deliv reduct/retention values, 4 cases, cells N66-69 (cases 1-4)</t>
  </si>
  <si>
    <t>Surf Event, No Fire, + Subsurface Event, V. Low R</t>
  </si>
  <si>
    <t>Surf Event, No Fire, + Subsurface Event, Low R</t>
  </si>
  <si>
    <t>Surf Event, No Fire, + Subsurface Event, Mid R</t>
  </si>
  <si>
    <t>Surf Event, No Fire, + Subsurface Event, High R</t>
  </si>
  <si>
    <t>see above</t>
  </si>
  <si>
    <t>Soil, Vegetation, Water Health, vlo R</t>
  </si>
  <si>
    <t>GHG emissions social costs - vlo Rel</t>
  </si>
  <si>
    <t>GHG emissions social costs -mid Rel</t>
  </si>
  <si>
    <t xml:space="preserve">Subsurface Event </t>
  </si>
  <si>
    <t>Adjusted Residual Consequences w/ TP</t>
  </si>
  <si>
    <t>very low reliability</t>
  </si>
  <si>
    <t>Service/Financial Consequences</t>
  </si>
  <si>
    <t>Surface Event, Fire:  very Low Reliability</t>
  </si>
  <si>
    <t>very low Rel</t>
  </si>
  <si>
    <t>Service/Financial - v. low Rel</t>
  </si>
  <si>
    <t>Environmental Consequences</t>
  </si>
  <si>
    <t>Environmental Consequences Red, very low Rel.</t>
  </si>
  <si>
    <t>Residual Consequences after Mitigation with TP</t>
  </si>
  <si>
    <t>Residual Consequences of Surface Events, w/ and w/o fire, mitigation with TP</t>
  </si>
  <si>
    <t>Residual Consequences of Subsurface Event, w/TP</t>
  </si>
  <si>
    <t>All Consequences-verylowRel</t>
  </si>
  <si>
    <t>TOTAL CONSEQUENCES</t>
  </si>
  <si>
    <t>Surface Events-verylowRel</t>
  </si>
  <si>
    <t>verylow Rel</t>
  </si>
  <si>
    <t>Soil, Vegetation, Water Health, low R</t>
  </si>
  <si>
    <t>Soil, Vegetation, Water Health, mid R</t>
  </si>
  <si>
    <t>Soil, Vegetation, Water Health, hi R</t>
  </si>
  <si>
    <t>all subsurf</t>
  </si>
  <si>
    <t>all surf</t>
  </si>
  <si>
    <t>check</t>
  </si>
  <si>
    <t>Residual Consequences of SubSurface Events, w/ TP</t>
  </si>
  <si>
    <t>veryloRel</t>
  </si>
  <si>
    <t>TP reliablty</t>
  </si>
  <si>
    <t>Residual consequences w/TP</t>
  </si>
  <si>
    <t>veryloR</t>
  </si>
  <si>
    <t>Enviro portion</t>
  </si>
  <si>
    <t>Risk Reduction Due to TP</t>
  </si>
  <si>
    <t>1. Presence of a TP decreases consequences of a surface release with fire by the deliverability reduction value for the well condition</t>
  </si>
  <si>
    <t>2. Presence of a TP decreases the consequences of the subsurface event expressing a long-term surface release with no fire by the deliverability reduction value plus for the subsurface release by the functional reliability value of the TP</t>
  </si>
  <si>
    <t>3. varying mitigation of environmental consequences:  air impacts and toxins reduced by deliv reduction value of TP, andsoil, vegetation and water by the reliability value of the TP (adjusted for deliv)</t>
  </si>
  <si>
    <t>4. 50% mitigation of financial/service/reliability consequences for surface impact adjusted for deliv reduction, plus 50% for residual subsurface as a function of TP reliability</t>
  </si>
  <si>
    <t>use 4626 wo sfty + 7 woGHG</t>
  </si>
  <si>
    <t>4633 (see COF Case Characteristics(altex) sheet)</t>
  </si>
  <si>
    <t>Deliverability Impairment Estimates for TP Systems</t>
  </si>
  <si>
    <t>Replacement Wells per Well w/TP installed</t>
  </si>
  <si>
    <t>used avg of 3x5 to 4x7 field "C" approx. values</t>
  </si>
  <si>
    <t>AOF - MMcfd</t>
  </si>
  <si>
    <t>Prob. Operating MMcfd</t>
  </si>
  <si>
    <t>Replacement Frac.</t>
  </si>
  <si>
    <t>Surface Flow Decrease</t>
  </si>
  <si>
    <t xml:space="preserve">Tubing Reliability </t>
  </si>
  <si>
    <t>very low</t>
  </si>
  <si>
    <t>$4Million new well, adjusted for mid-range TP reliability (.9778)</t>
  </si>
  <si>
    <t>$1Million new well, adjusted for mid-range TP reliability(.9778)</t>
  </si>
  <si>
    <t xml:space="preserve"> Environmental Consequence Category</t>
  </si>
  <si>
    <t>wtd avg?</t>
  </si>
  <si>
    <t>various avgs</t>
  </si>
  <si>
    <t>sum of moderate+</t>
  </si>
  <si>
    <t>sum of all</t>
  </si>
  <si>
    <t>wtd avg</t>
  </si>
  <si>
    <t>ratios</t>
  </si>
  <si>
    <t>distribution estimate doodles</t>
  </si>
  <si>
    <t>est. max for workovers</t>
  </si>
  <si>
    <t>pressure relief valve (see table at below, left from GRI)</t>
  </si>
  <si>
    <t>pct of total consequence</t>
  </si>
  <si>
    <t>subsurface fraction of all consequences</t>
  </si>
  <si>
    <t>residual conseqeunces as fraction of initial total consequences</t>
  </si>
  <si>
    <t>Residual surface consequences as fraction of initial surface w/ and w/o fire consequences</t>
  </si>
  <si>
    <t>Residual surface consequences as fraction of initial surface w/fire consequences</t>
  </si>
  <si>
    <t xml:space="preserve">row category fraction of total consequences </t>
  </si>
  <si>
    <t>MTTF or MTTR</t>
  </si>
  <si>
    <t>Ftp</t>
  </si>
  <si>
    <t>Rtp=1-Ftp</t>
  </si>
  <si>
    <t>Loss of Control Event During Workover - case 1 (col D)</t>
  </si>
  <si>
    <t>Loss of Control Event During Workover - case 2 (col E)</t>
  </si>
  <si>
    <t>Loss of Control Event During Workover - case 3 (col F)</t>
  </si>
  <si>
    <t>Loss of Control Event During Workover - case 4 (col G)</t>
  </si>
  <si>
    <t>Loss of Control Event During Workover - case 1 (col C)</t>
  </si>
  <si>
    <t>Loss of Control Event During Workover - case 2 (col D)</t>
  </si>
  <si>
    <t>Loss of Control Event During Workover - case 3 (col E)</t>
  </si>
  <si>
    <t>Loss of Control Event During Workover - case 4 (col F)</t>
  </si>
  <si>
    <t>hi regional-mod local population, strong flow and volume consequence case</t>
  </si>
  <si>
    <t xml:space="preserve"> hi regional-lo local population strong flow and volume consequence case</t>
  </si>
  <si>
    <t>Intermediate regional population - mod local population  strong flow and volume consequence case characteristics</t>
  </si>
  <si>
    <t>Intermediate regional population - low local population strong flow and volume consequence case characteristics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</si>
</sst>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_);[Red]\(&quot;$&quot;#,##0\)"/>
    <numFmt numFmtId="8" formatCode="&quot;$&quot;#,##0.00_);[Red]\(&quot;$&quot;#,##0.00\)"/>
    <numFmt numFmtId="164" formatCode="0.000"/>
    <numFmt numFmtId="165" formatCode="0.0000"/>
    <numFmt numFmtId="166" formatCode="0.000000"/>
    <numFmt numFmtId="167" formatCode="&quot;$&quot;#,##0"/>
    <numFmt numFmtId="168" formatCode="#,##0.0"/>
    <numFmt numFmtId="169" formatCode="0.0"/>
    <numFmt numFmtId="170" formatCode="0.00000"/>
    <numFmt numFmtId="171" formatCode="&quot;$&quot;#,##0.0"/>
    <numFmt numFmtId="172" formatCode="0.0000000"/>
  </numFmts>
  <fonts count="29" x14ac:knownFonts="1">
    <font>
      <sz val="11"/>
      <color theme="1"/>
      <name val="Calibri"/>
      <family val="2"/>
      <scheme val="minor"/>
    </font>
    <font>
      <sz val="11"/>
      <color rgb="FFC00000"/>
      <name val="Calibri"/>
      <family val="2"/>
      <scheme val="minor"/>
    </font>
    <font>
      <b/>
      <sz val="11"/>
      <color theme="1"/>
      <name val="Calibri"/>
      <family val="2"/>
      <scheme val="minor"/>
    </font>
    <font>
      <b/>
      <sz val="10"/>
      <color theme="1"/>
      <name val="Calibri"/>
      <family val="2"/>
      <scheme val="minor"/>
    </font>
    <font>
      <sz val="8"/>
      <color theme="1"/>
      <name val="Calibri"/>
      <family val="2"/>
      <scheme val="minor"/>
    </font>
    <font>
      <b/>
      <sz val="9"/>
      <color theme="1"/>
      <name val="Calibri"/>
      <family val="2"/>
      <scheme val="minor"/>
    </font>
    <font>
      <sz val="9"/>
      <color theme="1"/>
      <name val="Calibri"/>
      <family val="2"/>
      <scheme val="minor"/>
    </font>
    <font>
      <vertAlign val="superscript"/>
      <sz val="11"/>
      <color theme="1"/>
      <name val="Calibri"/>
      <family val="2"/>
      <scheme val="minor"/>
    </font>
    <font>
      <sz val="9"/>
      <color theme="1"/>
      <name val="Symbol"/>
      <family val="1"/>
      <charset val="2"/>
    </font>
    <font>
      <sz val="7"/>
      <color theme="1"/>
      <name val="Times New Roman"/>
      <family val="1"/>
    </font>
    <font>
      <i/>
      <sz val="9"/>
      <color theme="1"/>
      <name val="Calibri"/>
      <family val="2"/>
      <scheme val="minor"/>
    </font>
    <font>
      <b/>
      <sz val="10"/>
      <color rgb="FF000000"/>
      <name val="Calibri"/>
      <family val="2"/>
      <scheme val="minor"/>
    </font>
    <font>
      <sz val="11"/>
      <color rgb="FF000000"/>
      <name val="Calibri"/>
      <family val="2"/>
      <scheme val="minor"/>
    </font>
    <font>
      <sz val="10"/>
      <color rgb="FF000000"/>
      <name val="Calibri"/>
      <family val="2"/>
      <scheme val="minor"/>
    </font>
    <font>
      <b/>
      <sz val="10"/>
      <color theme="1"/>
      <name val="Times New Roman"/>
      <family val="1"/>
    </font>
    <font>
      <sz val="10"/>
      <color theme="1"/>
      <name val="Calibri"/>
      <family val="2"/>
      <scheme val="minor"/>
    </font>
    <font>
      <vertAlign val="subscript"/>
      <sz val="10"/>
      <color theme="1"/>
      <name val="Calibri"/>
      <family val="2"/>
      <scheme val="minor"/>
    </font>
    <font>
      <b/>
      <vertAlign val="superscript"/>
      <sz val="9"/>
      <color theme="1"/>
      <name val="Calibri"/>
      <family val="2"/>
      <scheme val="minor"/>
    </font>
    <font>
      <b/>
      <i/>
      <sz val="9"/>
      <color theme="1"/>
      <name val="Calibri"/>
      <family val="2"/>
      <scheme val="minor"/>
    </font>
    <font>
      <i/>
      <sz val="11"/>
      <color theme="1"/>
      <name val="Calibri"/>
      <family val="2"/>
      <scheme val="minor"/>
    </font>
    <font>
      <b/>
      <sz val="11"/>
      <name val="Calibri"/>
      <family val="2"/>
      <scheme val="minor"/>
    </font>
    <font>
      <b/>
      <sz val="11"/>
      <color rgb="FFC00000"/>
      <name val="Calibri"/>
      <family val="2"/>
      <scheme val="minor"/>
    </font>
    <font>
      <i/>
      <sz val="11"/>
      <color rgb="FFC00000"/>
      <name val="Calibri"/>
      <family val="2"/>
      <scheme val="minor"/>
    </font>
    <font>
      <sz val="11"/>
      <color theme="0" tint="-0.499984740745262"/>
      <name val="Calibri"/>
      <family val="2"/>
      <scheme val="minor"/>
    </font>
    <font>
      <b/>
      <i/>
      <sz val="11"/>
      <color theme="1"/>
      <name val="Calibri"/>
      <family val="2"/>
      <scheme val="minor"/>
    </font>
    <font>
      <sz val="11"/>
      <color rgb="FF0066FF"/>
      <name val="Calibri"/>
      <family val="2"/>
      <scheme val="minor"/>
    </font>
    <font>
      <b/>
      <sz val="11"/>
      <color theme="3"/>
      <name val="Calibri"/>
      <family val="2"/>
      <scheme val="minor"/>
    </font>
    <font>
      <sz val="9"/>
      <color indexed="81"/>
      <name val="Tahoma"/>
      <family val="2"/>
    </font>
    <font>
      <b/>
      <sz val="9"/>
      <color indexed="81"/>
      <name val="Tahoma"/>
      <family val="2"/>
    </font>
  </fonts>
  <fills count="25">
    <fill>
      <patternFill patternType="none"/>
    </fill>
    <fill>
      <patternFill patternType="gray125"/>
    </fill>
    <fill>
      <patternFill patternType="solid">
        <fgColor rgb="FFC4BC96"/>
        <bgColor indexed="64"/>
      </patternFill>
    </fill>
    <fill>
      <patternFill patternType="solid">
        <fgColor rgb="FFEEECE1"/>
        <bgColor indexed="64"/>
      </patternFill>
    </fill>
    <fill>
      <patternFill patternType="solid">
        <fgColor rgb="FFFFC000"/>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rgb="FFDDD9C3"/>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rgb="FFFFCCCC"/>
        <bgColor indexed="64"/>
      </patternFill>
    </fill>
    <fill>
      <patternFill patternType="solid">
        <fgColor rgb="FFFFFF99"/>
        <bgColor indexed="64"/>
      </patternFill>
    </fill>
    <fill>
      <patternFill patternType="solid">
        <fgColor rgb="FFCCFF99"/>
        <bgColor indexed="64"/>
      </patternFill>
    </fill>
    <fill>
      <patternFill patternType="solid">
        <fgColor rgb="FFFFCC99"/>
        <bgColor indexed="64"/>
      </patternFill>
    </fill>
    <fill>
      <patternFill patternType="solid">
        <fgColor rgb="FFCCFFFF"/>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2" tint="-9.9978637043366805E-2"/>
        <bgColor indexed="64"/>
      </patternFill>
    </fill>
  </fills>
  <borders count="16">
    <border>
      <left/>
      <right/>
      <top/>
      <bottom/>
      <diagonal/>
    </border>
    <border>
      <left/>
      <right/>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s>
  <cellStyleXfs count="1">
    <xf numFmtId="0" fontId="0" fillId="0" borderId="0"/>
  </cellStyleXfs>
  <cellXfs count="350">
    <xf numFmtId="0" fontId="0" fillId="0" borderId="0" xfId="0"/>
    <xf numFmtId="164" fontId="0" fillId="0" borderId="0" xfId="0" applyNumberFormat="1"/>
    <xf numFmtId="0" fontId="0" fillId="0" borderId="0" xfId="0" applyAlignment="1">
      <alignment horizontal="right"/>
    </xf>
    <xf numFmtId="16" fontId="0" fillId="0" borderId="0" xfId="0" quotePrefix="1" applyNumberFormat="1"/>
    <xf numFmtId="0" fontId="0" fillId="0" borderId="0" xfId="0" quotePrefix="1"/>
    <xf numFmtId="0" fontId="1" fillId="0" borderId="0" xfId="0" applyFont="1"/>
    <xf numFmtId="165" fontId="0" fillId="0" borderId="0" xfId="0" applyNumberFormat="1"/>
    <xf numFmtId="1" fontId="0" fillId="0" borderId="0" xfId="0" applyNumberFormat="1"/>
    <xf numFmtId="0" fontId="0" fillId="0" borderId="1" xfId="0" applyBorder="1"/>
    <xf numFmtId="164" fontId="0" fillId="0" borderId="1" xfId="0" applyNumberFormat="1" applyBorder="1"/>
    <xf numFmtId="0" fontId="0" fillId="0" borderId="2" xfId="0" applyBorder="1"/>
    <xf numFmtId="164" fontId="0" fillId="0" borderId="2" xfId="0" applyNumberFormat="1" applyBorder="1"/>
    <xf numFmtId="0" fontId="3" fillId="2" borderId="3"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4" fillId="0" borderId="8" xfId="0" applyFont="1" applyBorder="1" applyAlignment="1">
      <alignment vertical="center" wrapText="1"/>
    </xf>
    <xf numFmtId="0" fontId="4" fillId="0" borderId="7" xfId="0" applyFont="1" applyBorder="1" applyAlignment="1">
      <alignment vertical="center" wrapText="1"/>
    </xf>
    <xf numFmtId="0" fontId="0" fillId="0" borderId="7" xfId="0" applyBorder="1" applyAlignment="1">
      <alignment vertical="center" wrapText="1"/>
    </xf>
    <xf numFmtId="0" fontId="4" fillId="3" borderId="8" xfId="0" applyFont="1" applyFill="1" applyBorder="1" applyAlignment="1">
      <alignment vertical="center" wrapText="1"/>
    </xf>
    <xf numFmtId="0" fontId="4" fillId="3" borderId="7" xfId="0" applyFont="1" applyFill="1" applyBorder="1" applyAlignment="1">
      <alignment vertical="center" wrapText="1"/>
    </xf>
    <xf numFmtId="0" fontId="0" fillId="3" borderId="7" xfId="0" applyFill="1" applyBorder="1" applyAlignment="1">
      <alignment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8" fillId="0" borderId="8" xfId="0" applyFont="1" applyBorder="1" applyAlignment="1">
      <alignment horizontal="left" vertical="center" wrapText="1" indent="2"/>
    </xf>
    <xf numFmtId="0" fontId="8" fillId="0" borderId="7" xfId="0" applyFont="1" applyBorder="1" applyAlignment="1">
      <alignment horizontal="left" vertical="center" wrapText="1" indent="2"/>
    </xf>
    <xf numFmtId="0" fontId="8" fillId="3" borderId="8" xfId="0" applyFont="1" applyFill="1" applyBorder="1" applyAlignment="1">
      <alignment horizontal="left" vertical="center" wrapText="1" indent="2"/>
    </xf>
    <xf numFmtId="0" fontId="8" fillId="3" borderId="7" xfId="0" applyFont="1" applyFill="1" applyBorder="1" applyAlignment="1">
      <alignment horizontal="left" vertical="center" wrapText="1" indent="2"/>
    </xf>
    <xf numFmtId="0" fontId="0" fillId="0" borderId="8" xfId="0" applyBorder="1" applyAlignment="1">
      <alignment vertical="center" wrapText="1"/>
    </xf>
    <xf numFmtId="0" fontId="11" fillId="0" borderId="0" xfId="0" applyFont="1" applyAlignment="1">
      <alignment horizontal="center" vertical="center" textRotation="90" wrapText="1"/>
    </xf>
    <xf numFmtId="0" fontId="11" fillId="0" borderId="0" xfId="0" applyFont="1" applyAlignment="1">
      <alignment horizontal="right" vertical="center"/>
    </xf>
    <xf numFmtId="0" fontId="12" fillId="4" borderId="3" xfId="0" applyFont="1" applyFill="1" applyBorder="1" applyAlignment="1">
      <alignment vertical="center"/>
    </xf>
    <xf numFmtId="0" fontId="12" fillId="4" borderId="4" xfId="0" applyFont="1" applyFill="1" applyBorder="1" applyAlignment="1">
      <alignment vertical="center"/>
    </xf>
    <xf numFmtId="0" fontId="12" fillId="5" borderId="4" xfId="0" applyFont="1" applyFill="1" applyBorder="1" applyAlignment="1">
      <alignment vertical="center"/>
    </xf>
    <xf numFmtId="0" fontId="12" fillId="6" borderId="5" xfId="0" applyFont="1" applyFill="1" applyBorder="1" applyAlignment="1">
      <alignment vertical="center"/>
    </xf>
    <xf numFmtId="0" fontId="12" fillId="4" borderId="7" xfId="0" applyFont="1" applyFill="1" applyBorder="1" applyAlignment="1">
      <alignment vertical="center"/>
    </xf>
    <xf numFmtId="0" fontId="12" fillId="5" borderId="7" xfId="0" applyFont="1" applyFill="1" applyBorder="1" applyAlignment="1">
      <alignment vertical="center"/>
    </xf>
    <xf numFmtId="0" fontId="12" fillId="7" borderId="5" xfId="0" applyFont="1" applyFill="1" applyBorder="1" applyAlignment="1">
      <alignment vertical="center"/>
    </xf>
    <xf numFmtId="0" fontId="12" fillId="6" borderId="7" xfId="0" applyFont="1" applyFill="1" applyBorder="1" applyAlignment="1">
      <alignment vertical="center"/>
    </xf>
    <xf numFmtId="0" fontId="12" fillId="7" borderId="7" xfId="0" applyFont="1" applyFill="1" applyBorder="1" applyAlignment="1">
      <alignment vertical="center"/>
    </xf>
    <xf numFmtId="0" fontId="11" fillId="0" borderId="0" xfId="0" applyFont="1" applyAlignment="1">
      <alignment horizontal="center" vertical="center"/>
    </xf>
    <xf numFmtId="0" fontId="13" fillId="7" borderId="9" xfId="0" applyFont="1" applyFill="1" applyBorder="1" applyAlignment="1">
      <alignment horizontal="center" vertical="center"/>
    </xf>
    <xf numFmtId="0" fontId="13" fillId="7" borderId="5" xfId="0" applyFont="1" applyFill="1" applyBorder="1" applyAlignment="1">
      <alignment horizontal="center" vertical="center"/>
    </xf>
    <xf numFmtId="0" fontId="13" fillId="6" borderId="10" xfId="0" applyFont="1" applyFill="1" applyBorder="1" applyAlignment="1">
      <alignment horizontal="center" vertical="center"/>
    </xf>
    <xf numFmtId="0" fontId="13" fillId="6" borderId="7" xfId="0" applyFont="1" applyFill="1" applyBorder="1" applyAlignment="1">
      <alignment horizontal="center" vertical="center"/>
    </xf>
    <xf numFmtId="0" fontId="13" fillId="4" borderId="10" xfId="0" applyFont="1" applyFill="1" applyBorder="1" applyAlignment="1">
      <alignment horizontal="center" vertical="center"/>
    </xf>
    <xf numFmtId="0" fontId="13" fillId="4" borderId="7" xfId="0" applyFont="1" applyFill="1" applyBorder="1" applyAlignment="1">
      <alignment horizontal="center" vertical="center"/>
    </xf>
    <xf numFmtId="0" fontId="13" fillId="5" borderId="10" xfId="0" applyFont="1" applyFill="1" applyBorder="1" applyAlignment="1">
      <alignment horizontal="center" vertical="center"/>
    </xf>
    <xf numFmtId="0" fontId="13" fillId="5" borderId="7" xfId="0" applyFont="1" applyFill="1" applyBorder="1" applyAlignment="1">
      <alignment horizontal="center" vertical="center"/>
    </xf>
    <xf numFmtId="0" fontId="0" fillId="0" borderId="0" xfId="0"/>
    <xf numFmtId="6" fontId="0" fillId="0" borderId="0" xfId="0" applyNumberFormat="1"/>
    <xf numFmtId="0" fontId="5" fillId="2" borderId="10"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6" fillId="7" borderId="7" xfId="0" applyFont="1" applyFill="1" applyBorder="1" applyAlignment="1">
      <alignment vertical="center" wrapText="1"/>
    </xf>
    <xf numFmtId="6" fontId="6" fillId="7" borderId="7" xfId="0" applyNumberFormat="1" applyFont="1" applyFill="1" applyBorder="1" applyAlignment="1">
      <alignment horizontal="center" vertical="center" wrapText="1"/>
    </xf>
    <xf numFmtId="0" fontId="6" fillId="6" borderId="7" xfId="0" applyFont="1" applyFill="1" applyBorder="1" applyAlignment="1">
      <alignment vertical="center" wrapText="1"/>
    </xf>
    <xf numFmtId="6" fontId="6" fillId="6" borderId="7" xfId="0" applyNumberFormat="1" applyFont="1" applyFill="1" applyBorder="1" applyAlignment="1">
      <alignment horizontal="center" vertical="center" wrapText="1"/>
    </xf>
    <xf numFmtId="0" fontId="6" fillId="4" borderId="7" xfId="0" applyFont="1" applyFill="1" applyBorder="1" applyAlignment="1">
      <alignment vertical="center" wrapText="1"/>
    </xf>
    <xf numFmtId="6" fontId="6" fillId="4" borderId="7" xfId="0" applyNumberFormat="1" applyFont="1" applyFill="1" applyBorder="1" applyAlignment="1">
      <alignment horizontal="center" vertical="center" wrapText="1"/>
    </xf>
    <xf numFmtId="0" fontId="6" fillId="5" borderId="7" xfId="0" applyFont="1" applyFill="1" applyBorder="1" applyAlignment="1">
      <alignment vertical="center" wrapText="1"/>
    </xf>
    <xf numFmtId="6" fontId="6" fillId="5" borderId="7" xfId="0" applyNumberFormat="1" applyFont="1" applyFill="1" applyBorder="1" applyAlignment="1">
      <alignment horizontal="center" vertical="center" wrapText="1"/>
    </xf>
    <xf numFmtId="0" fontId="6" fillId="5" borderId="5" xfId="0" applyFont="1" applyFill="1" applyBorder="1" applyAlignment="1">
      <alignment horizontal="center" vertical="center" wrapText="1"/>
    </xf>
    <xf numFmtId="0" fontId="6" fillId="7" borderId="5" xfId="0" applyFont="1" applyFill="1" applyBorder="1" applyAlignment="1">
      <alignment horizontal="center" vertical="center" wrapText="1"/>
    </xf>
    <xf numFmtId="0" fontId="14" fillId="0" borderId="0" xfId="0" applyFont="1" applyAlignment="1">
      <alignment horizontal="left" vertical="center"/>
    </xf>
    <xf numFmtId="0" fontId="15" fillId="0" borderId="0" xfId="0" applyFont="1" applyAlignment="1">
      <alignment vertical="center"/>
    </xf>
    <xf numFmtId="0" fontId="14" fillId="0" borderId="0" xfId="0" applyFont="1" applyAlignment="1">
      <alignment vertical="center"/>
    </xf>
    <xf numFmtId="0" fontId="6" fillId="7" borderId="7" xfId="0" applyFont="1" applyFill="1" applyBorder="1" applyAlignment="1">
      <alignment horizontal="center" vertical="center" wrapText="1"/>
    </xf>
    <xf numFmtId="0" fontId="6" fillId="5" borderId="7" xfId="0" applyFont="1" applyFill="1" applyBorder="1" applyAlignment="1">
      <alignment horizontal="center" vertical="center" wrapText="1"/>
    </xf>
    <xf numFmtId="3" fontId="0" fillId="0" borderId="0" xfId="0" applyNumberFormat="1"/>
    <xf numFmtId="3" fontId="6" fillId="7" borderId="7" xfId="0" applyNumberFormat="1" applyFont="1" applyFill="1" applyBorder="1" applyAlignment="1">
      <alignment horizontal="center" vertical="center" wrapText="1"/>
    </xf>
    <xf numFmtId="3" fontId="6" fillId="5" borderId="7" xfId="0" applyNumberFormat="1" applyFont="1" applyFill="1" applyBorder="1" applyAlignment="1">
      <alignment horizontal="center" vertical="center" wrapText="1"/>
    </xf>
    <xf numFmtId="0" fontId="6" fillId="0" borderId="5" xfId="0" applyFont="1" applyBorder="1" applyAlignment="1">
      <alignment horizontal="right" vertical="center" wrapText="1"/>
    </xf>
    <xf numFmtId="6" fontId="4" fillId="0" borderId="7" xfId="0" applyNumberFormat="1" applyFont="1" applyBorder="1" applyAlignment="1">
      <alignment horizontal="center" vertical="center" wrapText="1"/>
    </xf>
    <xf numFmtId="0" fontId="4" fillId="0" borderId="7" xfId="0" applyFont="1" applyBorder="1" applyAlignment="1">
      <alignment horizontal="center" vertical="center" wrapText="1"/>
    </xf>
    <xf numFmtId="0" fontId="18" fillId="8" borderId="5" xfId="0" applyFont="1" applyFill="1" applyBorder="1" applyAlignment="1">
      <alignment horizontal="right" vertical="center" wrapText="1"/>
    </xf>
    <xf numFmtId="0" fontId="0" fillId="6" borderId="0" xfId="0" applyFill="1"/>
    <xf numFmtId="3" fontId="0" fillId="7" borderId="0" xfId="0" applyNumberFormat="1" applyFill="1"/>
    <xf numFmtId="3" fontId="0" fillId="6" borderId="0" xfId="0" applyNumberFormat="1" applyFill="1"/>
    <xf numFmtId="3" fontId="0" fillId="5" borderId="0" xfId="0" applyNumberFormat="1" applyFill="1"/>
    <xf numFmtId="0" fontId="0" fillId="5" borderId="0" xfId="0" applyFill="1"/>
    <xf numFmtId="0" fontId="0" fillId="0" borderId="0" xfId="0" applyFill="1"/>
    <xf numFmtId="0" fontId="0" fillId="0" borderId="0" xfId="0" applyFill="1" applyBorder="1" applyAlignment="1">
      <alignment wrapText="1"/>
    </xf>
    <xf numFmtId="0" fontId="0" fillId="0" borderId="0" xfId="0" applyAlignment="1">
      <alignment wrapText="1"/>
    </xf>
    <xf numFmtId="0" fontId="8" fillId="0" borderId="8" xfId="0" applyFont="1" applyBorder="1" applyAlignment="1">
      <alignment horizontal="left" vertical="center" wrapText="1"/>
    </xf>
    <xf numFmtId="0" fontId="0" fillId="0" borderId="0" xfId="0" applyAlignment="1"/>
    <xf numFmtId="0" fontId="0" fillId="5" borderId="0" xfId="0" applyFill="1" applyAlignment="1">
      <alignment wrapText="1"/>
    </xf>
    <xf numFmtId="0" fontId="0" fillId="6" borderId="0" xfId="0" applyFill="1" applyAlignment="1">
      <alignment wrapText="1"/>
    </xf>
    <xf numFmtId="0" fontId="0" fillId="7" borderId="0" xfId="0" applyFill="1" applyAlignment="1">
      <alignment wrapText="1"/>
    </xf>
    <xf numFmtId="0" fontId="2" fillId="0" borderId="0" xfId="0" applyFont="1"/>
    <xf numFmtId="0" fontId="2" fillId="0" borderId="1" xfId="0" applyFont="1" applyBorder="1"/>
    <xf numFmtId="0" fontId="0" fillId="0" borderId="1" xfId="0" applyFont="1" applyBorder="1"/>
    <xf numFmtId="0" fontId="11" fillId="0" borderId="0" xfId="0" applyFont="1" applyAlignment="1">
      <alignment horizontal="center" vertical="center" wrapText="1"/>
    </xf>
    <xf numFmtId="0" fontId="12" fillId="7" borderId="0" xfId="0" applyFont="1" applyFill="1" applyBorder="1" applyAlignment="1">
      <alignment vertical="center"/>
    </xf>
    <xf numFmtId="0" fontId="12" fillId="6" borderId="0" xfId="0" applyFont="1" applyFill="1" applyBorder="1" applyAlignment="1">
      <alignment vertical="center"/>
    </xf>
    <xf numFmtId="0" fontId="11" fillId="0" borderId="0" xfId="0" applyFont="1" applyAlignment="1">
      <alignment horizontal="right" vertical="center" wrapText="1"/>
    </xf>
    <xf numFmtId="0" fontId="12" fillId="6" borderId="4" xfId="0" applyFont="1" applyFill="1" applyBorder="1" applyAlignment="1">
      <alignment vertical="center"/>
    </xf>
    <xf numFmtId="0" fontId="12" fillId="7" borderId="6" xfId="0" applyFont="1" applyFill="1" applyBorder="1" applyAlignment="1">
      <alignment vertical="center"/>
    </xf>
    <xf numFmtId="0" fontId="12" fillId="7" borderId="8" xfId="0" applyFont="1" applyFill="1" applyBorder="1" applyAlignment="1">
      <alignment vertical="center"/>
    </xf>
    <xf numFmtId="0" fontId="12" fillId="6" borderId="8" xfId="0" applyFont="1" applyFill="1" applyBorder="1" applyAlignment="1">
      <alignment vertical="center"/>
    </xf>
    <xf numFmtId="0" fontId="12" fillId="7" borderId="13" xfId="0" applyFont="1" applyFill="1" applyBorder="1" applyAlignment="1">
      <alignment vertical="center"/>
    </xf>
    <xf numFmtId="0" fontId="12" fillId="7" borderId="3" xfId="0" applyFont="1" applyFill="1" applyBorder="1" applyAlignment="1">
      <alignment vertical="center"/>
    </xf>
    <xf numFmtId="0" fontId="2" fillId="0" borderId="0" xfId="0" applyFont="1" applyAlignment="1"/>
    <xf numFmtId="0" fontId="2" fillId="0" borderId="0" xfId="0" applyFont="1" applyAlignment="1">
      <alignment wrapText="1"/>
    </xf>
    <xf numFmtId="167" fontId="0" fillId="0" borderId="0" xfId="0" applyNumberFormat="1"/>
    <xf numFmtId="8" fontId="0" fillId="0" borderId="0" xfId="0" applyNumberFormat="1"/>
    <xf numFmtId="0" fontId="0" fillId="0" borderId="0" xfId="0" applyAlignment="1">
      <alignment horizontal="left"/>
    </xf>
    <xf numFmtId="168" fontId="0" fillId="0" borderId="0" xfId="0" applyNumberFormat="1"/>
    <xf numFmtId="0" fontId="0" fillId="0" borderId="0" xfId="0"/>
    <xf numFmtId="0" fontId="0" fillId="0" borderId="0" xfId="0"/>
    <xf numFmtId="0" fontId="2" fillId="0" borderId="1" xfId="0" applyFont="1" applyBorder="1" applyAlignment="1">
      <alignment wrapText="1"/>
    </xf>
    <xf numFmtId="169" fontId="0" fillId="0" borderId="0" xfId="0" applyNumberFormat="1"/>
    <xf numFmtId="0" fontId="0" fillId="0" borderId="0" xfId="0" applyAlignment="1">
      <alignment horizontal="center"/>
    </xf>
    <xf numFmtId="170" fontId="0" fillId="0" borderId="0" xfId="0" applyNumberFormat="1"/>
    <xf numFmtId="0" fontId="0" fillId="0" borderId="1" xfId="0" applyBorder="1" applyAlignment="1">
      <alignment wrapText="1"/>
    </xf>
    <xf numFmtId="0" fontId="0" fillId="0" borderId="1" xfId="0" applyBorder="1" applyAlignment="1">
      <alignment horizontal="left"/>
    </xf>
    <xf numFmtId="0" fontId="2" fillId="0" borderId="1" xfId="0" applyFont="1" applyBorder="1" applyAlignment="1">
      <alignment horizontal="center"/>
    </xf>
    <xf numFmtId="167" fontId="0" fillId="0" borderId="0" xfId="0" applyNumberFormat="1" applyAlignment="1">
      <alignment horizontal="center"/>
    </xf>
    <xf numFmtId="167" fontId="0" fillId="0" borderId="1" xfId="0" applyNumberFormat="1" applyBorder="1" applyAlignment="1">
      <alignment horizontal="center"/>
    </xf>
    <xf numFmtId="0" fontId="2" fillId="0" borderId="0" xfId="0" applyFont="1" applyAlignment="1">
      <alignment horizontal="center"/>
    </xf>
    <xf numFmtId="0" fontId="0" fillId="0" borderId="0" xfId="0"/>
    <xf numFmtId="0" fontId="15" fillId="0" borderId="0" xfId="0" applyFont="1" applyAlignment="1">
      <alignment wrapText="1"/>
    </xf>
    <xf numFmtId="167" fontId="0" fillId="9" borderId="13" xfId="0" applyNumberFormat="1" applyFill="1" applyBorder="1"/>
    <xf numFmtId="0" fontId="20" fillId="0" borderId="0" xfId="0" applyFont="1" applyAlignment="1">
      <alignment wrapText="1"/>
    </xf>
    <xf numFmtId="0" fontId="21" fillId="10" borderId="0" xfId="0" applyFont="1" applyFill="1" applyAlignment="1">
      <alignment wrapText="1"/>
    </xf>
    <xf numFmtId="167" fontId="0" fillId="10" borderId="0" xfId="0" applyNumberFormat="1" applyFill="1" applyAlignment="1">
      <alignment horizontal="center"/>
    </xf>
    <xf numFmtId="167" fontId="0" fillId="10" borderId="0" xfId="0" applyNumberFormat="1" applyFill="1"/>
    <xf numFmtId="167" fontId="22" fillId="10" borderId="0" xfId="0" applyNumberFormat="1" applyFont="1" applyFill="1" applyAlignment="1">
      <alignment horizontal="left"/>
    </xf>
    <xf numFmtId="0" fontId="6" fillId="0" borderId="0" xfId="0" applyFont="1" applyAlignment="1">
      <alignment wrapText="1"/>
    </xf>
    <xf numFmtId="0" fontId="24" fillId="0" borderId="0" xfId="0" applyFont="1"/>
    <xf numFmtId="0" fontId="24" fillId="0" borderId="0" xfId="0" applyFont="1" applyBorder="1"/>
    <xf numFmtId="0" fontId="2" fillId="0" borderId="0" xfId="0" applyFont="1" applyBorder="1"/>
    <xf numFmtId="0" fontId="4" fillId="0" borderId="13" xfId="0" applyFont="1" applyBorder="1" applyAlignment="1">
      <alignment wrapText="1"/>
    </xf>
    <xf numFmtId="0" fontId="2" fillId="0" borderId="0" xfId="0" applyFont="1" applyBorder="1" applyAlignment="1">
      <alignment wrapText="1"/>
    </xf>
    <xf numFmtId="0" fontId="2" fillId="0" borderId="0" xfId="0" applyFont="1" applyAlignment="1">
      <alignment horizontal="right"/>
    </xf>
    <xf numFmtId="0" fontId="2" fillId="0" borderId="1" xfId="0" applyFont="1" applyBorder="1" applyAlignment="1">
      <alignment horizontal="right"/>
    </xf>
    <xf numFmtId="0" fontId="0" fillId="4" borderId="13" xfId="0" applyFill="1" applyBorder="1"/>
    <xf numFmtId="164" fontId="0" fillId="7" borderId="13" xfId="0" applyNumberFormat="1" applyFill="1" applyBorder="1"/>
    <xf numFmtId="0" fontId="0" fillId="11" borderId="13" xfId="0" applyFill="1" applyBorder="1"/>
    <xf numFmtId="16" fontId="0" fillId="11" borderId="13" xfId="0" quotePrefix="1" applyNumberFormat="1" applyFill="1" applyBorder="1"/>
    <xf numFmtId="0" fontId="0" fillId="11" borderId="13" xfId="0" quotePrefix="1" applyFill="1" applyBorder="1"/>
    <xf numFmtId="0" fontId="0" fillId="11" borderId="0" xfId="0" applyFill="1"/>
    <xf numFmtId="16" fontId="0" fillId="11" borderId="0" xfId="0" quotePrefix="1" applyNumberFormat="1" applyFill="1"/>
    <xf numFmtId="169" fontId="0" fillId="11" borderId="13" xfId="0" applyNumberFormat="1" applyFill="1" applyBorder="1"/>
    <xf numFmtId="170" fontId="0" fillId="11" borderId="0" xfId="0" applyNumberFormat="1" applyFill="1"/>
    <xf numFmtId="0" fontId="0" fillId="0" borderId="1" xfId="0" applyBorder="1" applyAlignment="1">
      <alignment horizontal="center"/>
    </xf>
    <xf numFmtId="0" fontId="0" fillId="0" borderId="0" xfId="0" applyFont="1"/>
    <xf numFmtId="1" fontId="0" fillId="7" borderId="13" xfId="0" applyNumberFormat="1" applyFill="1" applyBorder="1"/>
    <xf numFmtId="0" fontId="0" fillId="0" borderId="0" xfId="0" applyFill="1" applyBorder="1"/>
    <xf numFmtId="0" fontId="2" fillId="0" borderId="0" xfId="0" applyFont="1" applyFill="1" applyBorder="1"/>
    <xf numFmtId="0" fontId="2" fillId="0" borderId="1" xfId="0" applyFont="1" applyFill="1" applyBorder="1"/>
    <xf numFmtId="167" fontId="0" fillId="4" borderId="13" xfId="0" applyNumberFormat="1" applyFill="1" applyBorder="1"/>
    <xf numFmtId="167" fontId="0" fillId="7" borderId="13" xfId="0" applyNumberFormat="1" applyFill="1" applyBorder="1"/>
    <xf numFmtId="167" fontId="0" fillId="7" borderId="0" xfId="0" applyNumberFormat="1" applyFill="1" applyAlignment="1">
      <alignment horizontal="center"/>
    </xf>
    <xf numFmtId="167" fontId="23" fillId="4" borderId="0" xfId="0" applyNumberFormat="1" applyFont="1" applyFill="1" applyAlignment="1">
      <alignment horizontal="center"/>
    </xf>
    <xf numFmtId="0" fontId="0" fillId="0" borderId="0" xfId="0" applyFont="1" applyAlignment="1">
      <alignment wrapText="1"/>
    </xf>
    <xf numFmtId="0" fontId="0" fillId="0" borderId="0" xfId="0" applyFont="1" applyAlignment="1">
      <alignment horizontal="center"/>
    </xf>
    <xf numFmtId="0" fontId="20" fillId="0" borderId="0" xfId="0" applyFont="1"/>
    <xf numFmtId="0" fontId="0" fillId="0" borderId="0" xfId="0"/>
    <xf numFmtId="0" fontId="0" fillId="4" borderId="0" xfId="0" applyFill="1"/>
    <xf numFmtId="3" fontId="0" fillId="4" borderId="13" xfId="0" applyNumberFormat="1" applyFill="1" applyBorder="1"/>
    <xf numFmtId="164" fontId="0" fillId="7" borderId="0" xfId="0" applyNumberFormat="1" applyFill="1"/>
    <xf numFmtId="170" fontId="0" fillId="0" borderId="0" xfId="0" applyNumberFormat="1" applyFill="1"/>
    <xf numFmtId="170" fontId="0" fillId="7" borderId="0" xfId="0" applyNumberFormat="1" applyFill="1"/>
    <xf numFmtId="170" fontId="0" fillId="0" borderId="0" xfId="0" applyNumberFormat="1" applyFill="1" applyAlignment="1">
      <alignment horizontal="right"/>
    </xf>
    <xf numFmtId="0" fontId="1" fillId="0" borderId="0" xfId="0" applyFont="1" applyAlignment="1">
      <alignment horizontal="right"/>
    </xf>
    <xf numFmtId="0" fontId="2" fillId="0" borderId="0" xfId="0" applyFont="1" applyFill="1" applyBorder="1" applyAlignment="1">
      <alignment horizontal="center"/>
    </xf>
    <xf numFmtId="164" fontId="0" fillId="12" borderId="13" xfId="0" applyNumberFormat="1" applyFill="1" applyBorder="1" applyAlignment="1">
      <alignment horizontal="center"/>
    </xf>
    <xf numFmtId="0" fontId="0" fillId="0" borderId="0" xfId="0"/>
    <xf numFmtId="0" fontId="0" fillId="0" borderId="0" xfId="0"/>
    <xf numFmtId="0" fontId="0" fillId="0" borderId="0" xfId="0" applyAlignment="1">
      <alignment wrapText="1"/>
    </xf>
    <xf numFmtId="0" fontId="0" fillId="0" borderId="0" xfId="0"/>
    <xf numFmtId="0" fontId="0" fillId="0" borderId="0" xfId="0" applyAlignment="1">
      <alignment wrapText="1"/>
    </xf>
    <xf numFmtId="167" fontId="0" fillId="0" borderId="1" xfId="0" applyNumberFormat="1" applyBorder="1"/>
    <xf numFmtId="167" fontId="2" fillId="0" borderId="0" xfId="0" applyNumberFormat="1" applyFont="1"/>
    <xf numFmtId="0" fontId="19" fillId="13" borderId="0" xfId="0" applyFont="1" applyFill="1"/>
    <xf numFmtId="0" fontId="0" fillId="13" borderId="0" xfId="0" applyFill="1"/>
    <xf numFmtId="0" fontId="21" fillId="14" borderId="0" xfId="0" applyFont="1" applyFill="1"/>
    <xf numFmtId="167" fontId="21" fillId="14" borderId="0" xfId="0" applyNumberFormat="1" applyFont="1" applyFill="1"/>
    <xf numFmtId="0" fontId="2" fillId="0" borderId="1" xfId="0" applyFont="1" applyBorder="1" applyAlignment="1">
      <alignment horizontal="center" wrapText="1"/>
    </xf>
    <xf numFmtId="0" fontId="0" fillId="13" borderId="0" xfId="0" applyFill="1" applyAlignment="1">
      <alignment horizontal="center"/>
    </xf>
    <xf numFmtId="0" fontId="0" fillId="0" borderId="0" xfId="0"/>
    <xf numFmtId="166" fontId="0" fillId="0" borderId="0" xfId="0" applyNumberFormat="1" applyAlignment="1">
      <alignment horizontal="center" wrapText="1"/>
    </xf>
    <xf numFmtId="0" fontId="0" fillId="0" borderId="0" xfId="0" applyAlignment="1">
      <alignment horizontal="center" wrapText="1"/>
    </xf>
    <xf numFmtId="0" fontId="2" fillId="0" borderId="0" xfId="0" applyFont="1" applyFill="1" applyBorder="1" applyAlignment="1">
      <alignment horizontal="center" wrapText="1"/>
    </xf>
    <xf numFmtId="167" fontId="0" fillId="15" borderId="0" xfId="0" applyNumberFormat="1" applyFill="1"/>
    <xf numFmtId="167" fontId="0" fillId="16" borderId="0" xfId="0" applyNumberFormat="1" applyFill="1"/>
    <xf numFmtId="167" fontId="0" fillId="17" borderId="0" xfId="0" applyNumberFormat="1" applyFill="1"/>
    <xf numFmtId="167" fontId="21" fillId="0" borderId="0" xfId="0" applyNumberFormat="1" applyFont="1"/>
    <xf numFmtId="0" fontId="0" fillId="14" borderId="0" xfId="0" applyFill="1"/>
    <xf numFmtId="0" fontId="2" fillId="0" borderId="0" xfId="0" applyFont="1" applyAlignment="1">
      <alignment horizontal="center"/>
    </xf>
    <xf numFmtId="0" fontId="2" fillId="0" borderId="1" xfId="0" applyFont="1" applyFill="1" applyBorder="1" applyAlignment="1">
      <alignment horizontal="center" wrapText="1"/>
    </xf>
    <xf numFmtId="0" fontId="0" fillId="13" borderId="1" xfId="0" applyFill="1" applyBorder="1"/>
    <xf numFmtId="167" fontId="25" fillId="0" borderId="0" xfId="0" applyNumberFormat="1" applyFont="1"/>
    <xf numFmtId="164" fontId="21" fillId="0" borderId="0" xfId="0" applyNumberFormat="1" applyFont="1"/>
    <xf numFmtId="171" fontId="0" fillId="0" borderId="0" xfId="0" applyNumberFormat="1"/>
    <xf numFmtId="167" fontId="0" fillId="16" borderId="1" xfId="0" applyNumberFormat="1" applyFill="1" applyBorder="1"/>
    <xf numFmtId="167" fontId="0" fillId="15" borderId="1" xfId="0" applyNumberFormat="1" applyFill="1" applyBorder="1"/>
    <xf numFmtId="167" fontId="0" fillId="18" borderId="0" xfId="0" applyNumberFormat="1" applyFill="1"/>
    <xf numFmtId="167" fontId="0" fillId="18" borderId="1" xfId="0" applyNumberFormat="1" applyFill="1" applyBorder="1"/>
    <xf numFmtId="167" fontId="0" fillId="17" borderId="1" xfId="0" applyNumberFormat="1" applyFill="1" applyBorder="1"/>
    <xf numFmtId="167" fontId="0" fillId="0" borderId="0" xfId="0" applyNumberFormat="1" applyFill="1"/>
    <xf numFmtId="0" fontId="0" fillId="0" borderId="14" xfId="0" applyBorder="1"/>
    <xf numFmtId="0" fontId="0" fillId="0" borderId="15" xfId="0" applyBorder="1"/>
    <xf numFmtId="172" fontId="0" fillId="0" borderId="0" xfId="0" applyNumberFormat="1"/>
    <xf numFmtId="172" fontId="0" fillId="0" borderId="1" xfId="0" applyNumberFormat="1" applyBorder="1" applyAlignment="1">
      <alignment horizontal="right"/>
    </xf>
    <xf numFmtId="0" fontId="0" fillId="0" borderId="1" xfId="0" applyBorder="1" applyAlignment="1">
      <alignment horizontal="right"/>
    </xf>
    <xf numFmtId="0" fontId="0" fillId="16" borderId="0" xfId="0" applyFill="1"/>
    <xf numFmtId="0" fontId="1" fillId="16" borderId="0" xfId="0" applyFont="1" applyFill="1"/>
    <xf numFmtId="0" fontId="21" fillId="16" borderId="0" xfId="0" applyFont="1" applyFill="1"/>
    <xf numFmtId="0" fontId="0" fillId="0" borderId="0" xfId="0" applyBorder="1"/>
    <xf numFmtId="167" fontId="0" fillId="0" borderId="0" xfId="0" applyNumberFormat="1" applyBorder="1"/>
    <xf numFmtId="0" fontId="0" fillId="0" borderId="0" xfId="0"/>
    <xf numFmtId="0" fontId="0" fillId="0" borderId="0" xfId="0" applyAlignment="1">
      <alignment wrapText="1"/>
    </xf>
    <xf numFmtId="0" fontId="0" fillId="0" borderId="0" xfId="0" applyFill="1" applyBorder="1" applyAlignment="1">
      <alignment horizontal="center"/>
    </xf>
    <xf numFmtId="0" fontId="0" fillId="0" borderId="0" xfId="0"/>
    <xf numFmtId="0" fontId="0" fillId="0" borderId="0" xfId="0"/>
    <xf numFmtId="0" fontId="0" fillId="0" borderId="0" xfId="0"/>
    <xf numFmtId="167" fontId="0" fillId="19" borderId="0" xfId="0" applyNumberFormat="1" applyFill="1"/>
    <xf numFmtId="167" fontId="0" fillId="20" borderId="0" xfId="0" applyNumberFormat="1" applyFill="1"/>
    <xf numFmtId="0" fontId="0" fillId="0" borderId="0" xfId="0"/>
    <xf numFmtId="0" fontId="0" fillId="0" borderId="0" xfId="0" applyAlignment="1">
      <alignment wrapText="1"/>
    </xf>
    <xf numFmtId="0" fontId="2" fillId="0" borderId="0" xfId="0" applyFont="1" applyAlignment="1">
      <alignment horizontal="right" wrapText="1"/>
    </xf>
    <xf numFmtId="0" fontId="0" fillId="13" borderId="0" xfId="0" applyFill="1" applyAlignment="1">
      <alignment horizontal="center"/>
    </xf>
    <xf numFmtId="0" fontId="0" fillId="0" borderId="0" xfId="0"/>
    <xf numFmtId="0" fontId="0" fillId="0" borderId="0" xfId="0" applyAlignment="1">
      <alignment wrapText="1"/>
    </xf>
    <xf numFmtId="0" fontId="0" fillId="20" borderId="0" xfId="0" applyFill="1"/>
    <xf numFmtId="0" fontId="0" fillId="21" borderId="0" xfId="0" applyFill="1"/>
    <xf numFmtId="0" fontId="2" fillId="0" borderId="0" xfId="0" applyFont="1" applyBorder="1" applyAlignment="1">
      <alignment horizontal="center" wrapText="1"/>
    </xf>
    <xf numFmtId="0" fontId="0" fillId="0" borderId="0" xfId="0" applyBorder="1" applyAlignment="1">
      <alignment horizontal="right"/>
    </xf>
    <xf numFmtId="167" fontId="21" fillId="0" borderId="0" xfId="0" applyNumberFormat="1" applyFont="1" applyFill="1"/>
    <xf numFmtId="167" fontId="25" fillId="0" borderId="1" xfId="0" applyNumberFormat="1" applyFont="1" applyBorder="1"/>
    <xf numFmtId="167" fontId="0" fillId="19" borderId="1" xfId="0" applyNumberFormat="1" applyFill="1" applyBorder="1"/>
    <xf numFmtId="0" fontId="0" fillId="22" borderId="0" xfId="0" applyFill="1"/>
    <xf numFmtId="167" fontId="0" fillId="22" borderId="0" xfId="0" applyNumberFormat="1" applyFill="1"/>
    <xf numFmtId="167" fontId="0" fillId="14" borderId="0" xfId="0" applyNumberFormat="1" applyFill="1"/>
    <xf numFmtId="167" fontId="2" fillId="0" borderId="0" xfId="0" applyNumberFormat="1" applyFont="1" applyBorder="1"/>
    <xf numFmtId="167" fontId="0" fillId="17" borderId="0" xfId="0" applyNumberFormat="1" applyFill="1" applyBorder="1"/>
    <xf numFmtId="167" fontId="0" fillId="0" borderId="0" xfId="0" applyNumberFormat="1" applyFont="1" applyFill="1" applyBorder="1" applyAlignment="1">
      <alignment horizontal="right" wrapText="1"/>
    </xf>
    <xf numFmtId="167" fontId="0" fillId="0" borderId="1" xfId="0" applyNumberFormat="1" applyFont="1" applyFill="1" applyBorder="1" applyAlignment="1">
      <alignment horizontal="right" wrapText="1"/>
    </xf>
    <xf numFmtId="0" fontId="0" fillId="0" borderId="0" xfId="0" applyBorder="1" applyAlignment="1">
      <alignment wrapText="1"/>
    </xf>
    <xf numFmtId="0" fontId="0" fillId="0" borderId="1" xfId="0" applyFill="1" applyBorder="1"/>
    <xf numFmtId="0" fontId="0" fillId="0" borderId="0" xfId="0"/>
    <xf numFmtId="0" fontId="0" fillId="0" borderId="0" xfId="0"/>
    <xf numFmtId="0" fontId="0" fillId="0" borderId="0" xfId="0"/>
    <xf numFmtId="0" fontId="0" fillId="13" borderId="0" xfId="0" applyFill="1" applyAlignment="1">
      <alignment horizontal="center"/>
    </xf>
    <xf numFmtId="0" fontId="0" fillId="0" borderId="0" xfId="0" applyAlignment="1"/>
    <xf numFmtId="0" fontId="2" fillId="0" borderId="0" xfId="0" applyFont="1" applyAlignment="1">
      <alignment horizontal="center"/>
    </xf>
    <xf numFmtId="0" fontId="11" fillId="0" borderId="0" xfId="0" applyFont="1" applyAlignment="1">
      <alignment horizontal="center" vertical="center" textRotation="90" wrapText="1"/>
    </xf>
    <xf numFmtId="0" fontId="11" fillId="0" borderId="0" xfId="0" applyFont="1" applyAlignment="1">
      <alignment horizontal="center" vertical="center"/>
    </xf>
    <xf numFmtId="0" fontId="0" fillId="0" borderId="0" xfId="0"/>
    <xf numFmtId="0" fontId="0" fillId="0" borderId="8" xfId="0" applyBorder="1"/>
    <xf numFmtId="0" fontId="18" fillId="7" borderId="12" xfId="0" applyFont="1" applyFill="1" applyBorder="1" applyAlignment="1">
      <alignment horizontal="center" vertical="center" wrapText="1"/>
    </xf>
    <xf numFmtId="0" fontId="18" fillId="7" borderId="4" xfId="0" applyFont="1" applyFill="1" applyBorder="1" applyAlignment="1">
      <alignment horizontal="center" vertical="center" wrapText="1"/>
    </xf>
    <xf numFmtId="0" fontId="18" fillId="6" borderId="12" xfId="0" applyFont="1" applyFill="1" applyBorder="1" applyAlignment="1">
      <alignment horizontal="center" vertical="center" wrapText="1"/>
    </xf>
    <xf numFmtId="0" fontId="18" fillId="6" borderId="11" xfId="0" applyFont="1" applyFill="1" applyBorder="1" applyAlignment="1">
      <alignment horizontal="center" vertical="center" wrapText="1"/>
    </xf>
    <xf numFmtId="0" fontId="18" fillId="6" borderId="4" xfId="0" applyFont="1" applyFill="1" applyBorder="1" applyAlignment="1">
      <alignment horizontal="center" vertical="center" wrapText="1"/>
    </xf>
    <xf numFmtId="0" fontId="18" fillId="4" borderId="12" xfId="0" applyFont="1" applyFill="1" applyBorder="1" applyAlignment="1">
      <alignment horizontal="center" vertical="center" wrapText="1"/>
    </xf>
    <xf numFmtId="0" fontId="18" fillId="4" borderId="11" xfId="0" applyFont="1" applyFill="1" applyBorder="1" applyAlignment="1">
      <alignment horizontal="center" vertical="center" wrapText="1"/>
    </xf>
    <xf numFmtId="0" fontId="18" fillId="4" borderId="4" xfId="0" applyFont="1" applyFill="1" applyBorder="1" applyAlignment="1">
      <alignment horizontal="center" vertical="center" wrapText="1"/>
    </xf>
    <xf numFmtId="0" fontId="18" fillId="5" borderId="12" xfId="0" applyFont="1" applyFill="1" applyBorder="1" applyAlignment="1">
      <alignment horizontal="center" vertical="center" wrapText="1"/>
    </xf>
    <xf numFmtId="0" fontId="18" fillId="5" borderId="11" xfId="0" applyFont="1" applyFill="1" applyBorder="1" applyAlignment="1">
      <alignment horizontal="center" vertical="center" wrapText="1"/>
    </xf>
    <xf numFmtId="0" fontId="18" fillId="5" borderId="4" xfId="0" applyFont="1" applyFill="1" applyBorder="1" applyAlignment="1">
      <alignment horizontal="center" vertical="center" wrapText="1"/>
    </xf>
    <xf numFmtId="0" fontId="5" fillId="8" borderId="12" xfId="0" applyFont="1" applyFill="1" applyBorder="1" applyAlignment="1">
      <alignment vertical="center" wrapText="1"/>
    </xf>
    <xf numFmtId="0" fontId="5" fillId="8" borderId="11" xfId="0" applyFont="1" applyFill="1" applyBorder="1" applyAlignment="1">
      <alignment vertical="center" wrapText="1"/>
    </xf>
    <xf numFmtId="0" fontId="5" fillId="8" borderId="4" xfId="0" applyFont="1" applyFill="1" applyBorder="1" applyAlignment="1">
      <alignment vertical="center" wrapText="1"/>
    </xf>
    <xf numFmtId="0" fontId="4" fillId="0" borderId="12" xfId="0" applyFont="1" applyBorder="1" applyAlignment="1">
      <alignment vertical="center" wrapText="1"/>
    </xf>
    <xf numFmtId="0" fontId="4" fillId="0" borderId="4" xfId="0" applyFont="1" applyBorder="1" applyAlignment="1">
      <alignment vertical="center" wrapText="1"/>
    </xf>
    <xf numFmtId="0" fontId="4" fillId="0" borderId="12" xfId="0" applyFont="1" applyBorder="1" applyAlignment="1">
      <alignment horizontal="center" vertical="center" wrapText="1"/>
    </xf>
    <xf numFmtId="0" fontId="4" fillId="0" borderId="4" xfId="0" applyFont="1" applyBorder="1" applyAlignment="1">
      <alignment horizontal="center" vertical="center" wrapText="1"/>
    </xf>
    <xf numFmtId="6" fontId="4" fillId="0" borderId="12" xfId="0" applyNumberFormat="1" applyFont="1" applyBorder="1" applyAlignment="1">
      <alignment horizontal="center" vertical="center" wrapText="1"/>
    </xf>
    <xf numFmtId="6" fontId="4" fillId="0" borderId="4" xfId="0" applyNumberFormat="1" applyFont="1" applyBorder="1" applyAlignment="1">
      <alignment horizontal="center" vertical="center" wrapText="1"/>
    </xf>
    <xf numFmtId="0" fontId="5" fillId="4" borderId="12" xfId="0" applyFont="1" applyFill="1" applyBorder="1" applyAlignment="1">
      <alignment horizontal="center" vertical="center" wrapText="1"/>
    </xf>
    <xf numFmtId="0" fontId="5" fillId="4" borderId="11" xfId="0" applyFont="1" applyFill="1" applyBorder="1" applyAlignment="1">
      <alignment horizontal="center" vertical="center" wrapText="1"/>
    </xf>
    <xf numFmtId="0" fontId="5" fillId="4" borderId="4" xfId="0" applyFont="1" applyFill="1" applyBorder="1" applyAlignment="1">
      <alignment horizontal="center" vertical="center" wrapText="1"/>
    </xf>
    <xf numFmtId="0" fontId="5" fillId="5" borderId="12" xfId="0" applyFont="1" applyFill="1" applyBorder="1" applyAlignment="1">
      <alignment horizontal="center" vertical="center" wrapText="1"/>
    </xf>
    <xf numFmtId="0" fontId="5" fillId="5" borderId="11" xfId="0" applyFont="1" applyFill="1" applyBorder="1" applyAlignment="1">
      <alignment horizontal="center" vertical="center" wrapText="1"/>
    </xf>
    <xf numFmtId="0" fontId="5" fillId="5" borderId="4" xfId="0" applyFont="1" applyFill="1" applyBorder="1" applyAlignment="1">
      <alignment horizontal="center" vertical="center" wrapText="1"/>
    </xf>
    <xf numFmtId="0" fontId="5" fillId="2" borderId="12"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5" fillId="2" borderId="11" xfId="0" applyFont="1" applyFill="1" applyBorder="1" applyAlignment="1">
      <alignment horizontal="center" vertical="center" wrapText="1"/>
    </xf>
    <xf numFmtId="0" fontId="5" fillId="7" borderId="12" xfId="0" applyFont="1" applyFill="1" applyBorder="1" applyAlignment="1">
      <alignment horizontal="center" vertical="center" wrapText="1"/>
    </xf>
    <xf numFmtId="0" fontId="5" fillId="7" borderId="4"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4" xfId="0" applyFont="1" applyFill="1" applyBorder="1" applyAlignment="1">
      <alignment horizontal="center" vertical="center" wrapText="1"/>
    </xf>
    <xf numFmtId="0" fontId="6" fillId="6" borderId="9" xfId="0" applyFont="1" applyFill="1" applyBorder="1" applyAlignment="1">
      <alignment horizontal="center" vertical="center" wrapText="1"/>
    </xf>
    <xf numFmtId="0" fontId="6" fillId="6" borderId="6" xfId="0" applyFont="1" applyFill="1" applyBorder="1" applyAlignment="1">
      <alignment horizontal="center" vertical="center" wrapText="1"/>
    </xf>
    <xf numFmtId="0" fontId="6" fillId="6" borderId="5" xfId="0" applyFont="1" applyFill="1" applyBorder="1" applyAlignment="1">
      <alignment horizontal="center" vertical="center" wrapText="1"/>
    </xf>
    <xf numFmtId="0" fontId="6" fillId="4" borderId="9"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5" xfId="0" applyFont="1" applyFill="1" applyBorder="1" applyAlignment="1">
      <alignment horizontal="center" vertical="center" wrapText="1"/>
    </xf>
    <xf numFmtId="3" fontId="6" fillId="4" borderId="9" xfId="0" applyNumberFormat="1" applyFont="1" applyFill="1" applyBorder="1" applyAlignment="1">
      <alignment horizontal="center" vertical="center" wrapText="1"/>
    </xf>
    <xf numFmtId="3" fontId="6" fillId="4" borderId="6" xfId="0" applyNumberFormat="1" applyFont="1" applyFill="1" applyBorder="1" applyAlignment="1">
      <alignment horizontal="center" vertical="center" wrapText="1"/>
    </xf>
    <xf numFmtId="3" fontId="6" fillId="4" borderId="5" xfId="0" applyNumberFormat="1" applyFont="1" applyFill="1" applyBorder="1" applyAlignment="1">
      <alignment horizontal="center" vertical="center" wrapText="1"/>
    </xf>
    <xf numFmtId="0" fontId="6" fillId="4" borderId="9" xfId="0" applyFont="1" applyFill="1" applyBorder="1" applyAlignment="1">
      <alignment vertical="center" wrapText="1"/>
    </xf>
    <xf numFmtId="0" fontId="6" fillId="4" borderId="5" xfId="0" applyFont="1" applyFill="1" applyBorder="1" applyAlignment="1">
      <alignment vertical="center" wrapText="1"/>
    </xf>
    <xf numFmtId="3" fontId="6" fillId="6" borderId="9" xfId="0" applyNumberFormat="1" applyFont="1" applyFill="1" applyBorder="1" applyAlignment="1">
      <alignment horizontal="center" vertical="center" wrapText="1"/>
    </xf>
    <xf numFmtId="3" fontId="6" fillId="6" borderId="6" xfId="0" applyNumberFormat="1" applyFont="1" applyFill="1" applyBorder="1" applyAlignment="1">
      <alignment horizontal="center" vertical="center" wrapText="1"/>
    </xf>
    <xf numFmtId="3" fontId="6" fillId="6" borderId="5" xfId="0" applyNumberFormat="1" applyFont="1" applyFill="1" applyBorder="1" applyAlignment="1">
      <alignment horizontal="center" vertical="center" wrapText="1"/>
    </xf>
    <xf numFmtId="0" fontId="6" fillId="6" borderId="9" xfId="0" applyFont="1" applyFill="1" applyBorder="1" applyAlignment="1">
      <alignment vertical="center" wrapText="1"/>
    </xf>
    <xf numFmtId="0" fontId="6" fillId="6" borderId="5" xfId="0" applyFont="1" applyFill="1" applyBorder="1" applyAlignment="1">
      <alignment vertical="center" wrapText="1"/>
    </xf>
    <xf numFmtId="6" fontId="6" fillId="4" borderId="9" xfId="0" applyNumberFormat="1" applyFont="1" applyFill="1" applyBorder="1" applyAlignment="1">
      <alignment horizontal="center" vertical="center" wrapText="1"/>
    </xf>
    <xf numFmtId="6" fontId="6" fillId="4" borderId="6" xfId="0" applyNumberFormat="1" applyFont="1" applyFill="1" applyBorder="1" applyAlignment="1">
      <alignment horizontal="center" vertical="center" wrapText="1"/>
    </xf>
    <xf numFmtId="6" fontId="6" fillId="4" borderId="5" xfId="0" applyNumberFormat="1" applyFont="1" applyFill="1" applyBorder="1" applyAlignment="1">
      <alignment horizontal="center" vertical="center" wrapText="1"/>
    </xf>
    <xf numFmtId="6" fontId="6" fillId="6" borderId="9" xfId="0" applyNumberFormat="1" applyFont="1" applyFill="1" applyBorder="1" applyAlignment="1">
      <alignment horizontal="center" vertical="center" wrapText="1"/>
    </xf>
    <xf numFmtId="6" fontId="6" fillId="6" borderId="6" xfId="0" applyNumberFormat="1" applyFont="1" applyFill="1" applyBorder="1" applyAlignment="1">
      <alignment horizontal="center" vertical="center" wrapText="1"/>
    </xf>
    <xf numFmtId="6" fontId="6" fillId="6" borderId="5" xfId="0" applyNumberFormat="1" applyFont="1" applyFill="1" applyBorder="1" applyAlignment="1">
      <alignment horizontal="center" vertical="center" wrapText="1"/>
    </xf>
    <xf numFmtId="0" fontId="6" fillId="5" borderId="9" xfId="0" applyFont="1" applyFill="1" applyBorder="1" applyAlignment="1">
      <alignment horizontal="center" vertical="center" wrapText="1"/>
    </xf>
    <xf numFmtId="0" fontId="6" fillId="5" borderId="6" xfId="0" applyFont="1" applyFill="1" applyBorder="1" applyAlignment="1">
      <alignment horizontal="center" vertical="center" wrapText="1"/>
    </xf>
    <xf numFmtId="0" fontId="6" fillId="5" borderId="5" xfId="0" applyFont="1" applyFill="1" applyBorder="1" applyAlignment="1">
      <alignment horizontal="center" vertical="center" wrapText="1"/>
    </xf>
    <xf numFmtId="0" fontId="6" fillId="5" borderId="9" xfId="0" applyFont="1" applyFill="1" applyBorder="1" applyAlignment="1">
      <alignment vertical="center" wrapText="1"/>
    </xf>
    <xf numFmtId="0" fontId="6" fillId="5" borderId="6" xfId="0" applyFont="1" applyFill="1" applyBorder="1" applyAlignment="1">
      <alignment vertical="center" wrapText="1"/>
    </xf>
    <xf numFmtId="0" fontId="6" fillId="5" borderId="5" xfId="0" applyFont="1" applyFill="1" applyBorder="1" applyAlignment="1">
      <alignment vertical="center" wrapText="1"/>
    </xf>
    <xf numFmtId="0" fontId="6" fillId="4" borderId="6" xfId="0" applyFont="1" applyFill="1" applyBorder="1" applyAlignment="1">
      <alignment vertical="center" wrapText="1"/>
    </xf>
    <xf numFmtId="0" fontId="6" fillId="6" borderId="6" xfId="0" applyFont="1" applyFill="1" applyBorder="1" applyAlignment="1">
      <alignment vertical="center" wrapText="1"/>
    </xf>
    <xf numFmtId="0" fontId="6" fillId="7" borderId="9" xfId="0" applyFont="1" applyFill="1" applyBorder="1" applyAlignment="1">
      <alignment horizontal="center" vertical="center" wrapText="1"/>
    </xf>
    <xf numFmtId="0" fontId="6" fillId="7" borderId="6" xfId="0" applyFont="1" applyFill="1" applyBorder="1" applyAlignment="1">
      <alignment horizontal="center" vertical="center" wrapText="1"/>
    </xf>
    <xf numFmtId="0" fontId="6" fillId="7" borderId="5" xfId="0" applyFont="1" applyFill="1" applyBorder="1" applyAlignment="1">
      <alignment horizontal="center" vertical="center" wrapText="1"/>
    </xf>
    <xf numFmtId="0" fontId="6" fillId="7" borderId="9" xfId="0" applyFont="1" applyFill="1" applyBorder="1" applyAlignment="1">
      <alignment vertical="center" wrapText="1"/>
    </xf>
    <xf numFmtId="0" fontId="6" fillId="7" borderId="6" xfId="0" applyFont="1" applyFill="1" applyBorder="1" applyAlignment="1">
      <alignment vertical="center" wrapText="1"/>
    </xf>
    <xf numFmtId="0" fontId="6" fillId="7" borderId="5" xfId="0" applyFont="1" applyFill="1" applyBorder="1" applyAlignment="1">
      <alignment vertical="center" wrapText="1"/>
    </xf>
    <xf numFmtId="6" fontId="6" fillId="5" borderId="9" xfId="0" applyNumberFormat="1" applyFont="1" applyFill="1" applyBorder="1" applyAlignment="1">
      <alignment horizontal="center" vertical="center" wrapText="1"/>
    </xf>
    <xf numFmtId="6" fontId="6" fillId="5" borderId="6" xfId="0" applyNumberFormat="1" applyFont="1" applyFill="1" applyBorder="1" applyAlignment="1">
      <alignment horizontal="center" vertical="center" wrapText="1"/>
    </xf>
    <xf numFmtId="6" fontId="6" fillId="5" borderId="5" xfId="0" applyNumberFormat="1" applyFont="1" applyFill="1" applyBorder="1" applyAlignment="1">
      <alignment horizontal="center" vertical="center" wrapText="1"/>
    </xf>
    <xf numFmtId="6" fontId="6" fillId="7" borderId="9" xfId="0" applyNumberFormat="1" applyFont="1" applyFill="1" applyBorder="1" applyAlignment="1">
      <alignment horizontal="center" vertical="center" wrapText="1"/>
    </xf>
    <xf numFmtId="6" fontId="6" fillId="7" borderId="6" xfId="0" applyNumberFormat="1" applyFont="1" applyFill="1" applyBorder="1" applyAlignment="1">
      <alignment horizontal="center" vertical="center" wrapText="1"/>
    </xf>
    <xf numFmtId="6" fontId="6" fillId="7" borderId="5" xfId="0" applyNumberFormat="1" applyFont="1" applyFill="1" applyBorder="1" applyAlignment="1">
      <alignment horizontal="center" vertical="center" wrapText="1"/>
    </xf>
    <xf numFmtId="0" fontId="6" fillId="0" borderId="9" xfId="0" applyFont="1" applyBorder="1" applyAlignment="1">
      <alignment vertical="center" wrapText="1"/>
    </xf>
    <xf numFmtId="0" fontId="6" fillId="0" borderId="6" xfId="0" applyFont="1" applyBorder="1" applyAlignment="1">
      <alignment vertical="center" wrapText="1"/>
    </xf>
    <xf numFmtId="0" fontId="6" fillId="0" borderId="5" xfId="0" applyFont="1" applyBorder="1" applyAlignment="1">
      <alignment vertical="center" wrapText="1"/>
    </xf>
    <xf numFmtId="0" fontId="6" fillId="3" borderId="9" xfId="0" applyFont="1" applyFill="1" applyBorder="1" applyAlignment="1">
      <alignment vertical="center" wrapText="1"/>
    </xf>
    <xf numFmtId="0" fontId="6" fillId="3" borderId="6" xfId="0" applyFont="1" applyFill="1" applyBorder="1" applyAlignment="1">
      <alignment vertical="center" wrapText="1"/>
    </xf>
    <xf numFmtId="0" fontId="6" fillId="3" borderId="5" xfId="0" applyFont="1" applyFill="1" applyBorder="1" applyAlignment="1">
      <alignment vertical="center" wrapText="1"/>
    </xf>
    <xf numFmtId="0" fontId="4" fillId="0" borderId="9" xfId="0" applyFont="1" applyBorder="1" applyAlignment="1">
      <alignment vertical="center" wrapText="1"/>
    </xf>
    <xf numFmtId="0" fontId="4" fillId="0" borderId="6" xfId="0" applyFont="1" applyBorder="1" applyAlignment="1">
      <alignment vertical="center" wrapText="1"/>
    </xf>
    <xf numFmtId="0" fontId="4" fillId="0" borderId="5" xfId="0" applyFont="1" applyBorder="1" applyAlignment="1">
      <alignment vertical="center" wrapText="1"/>
    </xf>
    <xf numFmtId="0" fontId="4" fillId="3" borderId="9" xfId="0" applyFont="1" applyFill="1" applyBorder="1" applyAlignment="1">
      <alignment vertical="center" wrapText="1"/>
    </xf>
    <xf numFmtId="0" fontId="4" fillId="3" borderId="6" xfId="0" applyFont="1" applyFill="1" applyBorder="1" applyAlignment="1">
      <alignment vertical="center" wrapText="1"/>
    </xf>
    <xf numFmtId="0" fontId="4" fillId="3" borderId="5" xfId="0" applyFont="1" applyFill="1" applyBorder="1" applyAlignment="1">
      <alignment vertical="center" wrapText="1"/>
    </xf>
    <xf numFmtId="0" fontId="0" fillId="0" borderId="0" xfId="0" applyAlignment="1">
      <alignment wrapText="1"/>
    </xf>
    <xf numFmtId="0" fontId="0" fillId="12" borderId="0" xfId="0" applyFill="1"/>
    <xf numFmtId="0" fontId="0" fillId="9" borderId="0" xfId="0" applyFill="1"/>
    <xf numFmtId="0" fontId="0" fillId="23" borderId="0" xfId="0" applyFill="1"/>
    <xf numFmtId="0" fontId="0" fillId="24" borderId="0" xfId="0" applyFill="1"/>
    <xf numFmtId="167" fontId="21" fillId="0" borderId="0" xfId="0" applyNumberFormat="1" applyFont="1" applyFill="1" applyBorder="1"/>
    <xf numFmtId="167" fontId="26" fillId="0" borderId="0" xfId="0" applyNumberFormat="1" applyFont="1" applyFill="1" applyBorder="1"/>
    <xf numFmtId="167" fontId="0" fillId="0" borderId="0" xfId="0" applyNumberFormat="1" applyFill="1" applyBorder="1"/>
    <xf numFmtId="167" fontId="2" fillId="0" borderId="0" xfId="0" applyNumberFormat="1" applyFont="1" applyFill="1" applyBorder="1"/>
    <xf numFmtId="0" fontId="26" fillId="0" borderId="0" xfId="0" applyFont="1" applyFill="1" applyBorder="1"/>
  </cellXfs>
  <cellStyles count="1">
    <cellStyle name="Normal" xfId="0" builtinId="0"/>
  </cellStyles>
  <dxfs count="0"/>
  <tableStyles count="0" defaultTableStyle="TableStyleMedium2" defaultPivotStyle="PivotStyleLight16"/>
  <colors>
    <mruColors>
      <color rgb="FFFFFF99"/>
      <color rgb="FFFFCCCC"/>
      <color rgb="FFCCFF99"/>
      <color rgb="FFFFCC99"/>
      <color rgb="FF0066FF"/>
      <color rgb="FFCCFFFF"/>
      <color rgb="FFFF99CC"/>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probability of impact vs</a:t>
            </a:r>
            <a:r>
              <a:rPr lang="en-US" baseline="0"/>
              <a:t>. distance (miles)</a:t>
            </a:r>
            <a:endParaRPr lang="en-US"/>
          </a:p>
        </c:rich>
      </c:tx>
      <c:layout>
        <c:manualLayout>
          <c:xMode val="edge"/>
          <c:yMode val="edge"/>
          <c:x val="0.20852077865266841"/>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0539370078740152E-2"/>
          <c:y val="0.14393518518518519"/>
          <c:w val="0.8825717410323709"/>
          <c:h val="0.80513888888888885"/>
        </c:manualLayout>
      </c:layout>
      <c:scatterChart>
        <c:scatterStyle val="smoothMarker"/>
        <c:varyColors val="0"/>
        <c:ser>
          <c:idx val="0"/>
          <c:order val="0"/>
          <c:tx>
            <c:strRef>
              <c:f>'Safety - SubSurface Release'!$F$13</c:f>
              <c:strCache>
                <c:ptCount val="1"/>
                <c:pt idx="0">
                  <c:v>probability of impact</c:v>
                </c:pt>
              </c:strCache>
            </c:strRef>
          </c:tx>
          <c:spPr>
            <a:ln w="19050" cap="rnd">
              <a:solidFill>
                <a:schemeClr val="accent1"/>
              </a:solidFill>
              <a:round/>
            </a:ln>
            <a:effectLst/>
          </c:spPr>
          <c:marker>
            <c:symbol val="none"/>
          </c:marker>
          <c:xVal>
            <c:numRef>
              <c:f>'Safety - SubSurface Release'!$G$12:$L$12</c:f>
              <c:numCache>
                <c:formatCode>General</c:formatCode>
                <c:ptCount val="6"/>
                <c:pt idx="1">
                  <c:v>1</c:v>
                </c:pt>
                <c:pt idx="2">
                  <c:v>2</c:v>
                </c:pt>
                <c:pt idx="3">
                  <c:v>3</c:v>
                </c:pt>
                <c:pt idx="4">
                  <c:v>6</c:v>
                </c:pt>
                <c:pt idx="5">
                  <c:v>9</c:v>
                </c:pt>
              </c:numCache>
            </c:numRef>
          </c:xVal>
          <c:yVal>
            <c:numRef>
              <c:f>'Safety - SubSurface Release'!$G$13:$L$13</c:f>
              <c:numCache>
                <c:formatCode>General</c:formatCode>
                <c:ptCount val="6"/>
                <c:pt idx="1">
                  <c:v>0.8</c:v>
                </c:pt>
                <c:pt idx="2">
                  <c:v>0.18</c:v>
                </c:pt>
                <c:pt idx="3">
                  <c:v>1.89E-2</c:v>
                </c:pt>
                <c:pt idx="4">
                  <c:v>1E-3</c:v>
                </c:pt>
                <c:pt idx="5">
                  <c:v>1E-4</c:v>
                </c:pt>
              </c:numCache>
            </c:numRef>
          </c:yVal>
          <c:smooth val="1"/>
          <c:extLst>
            <c:ext xmlns:c16="http://schemas.microsoft.com/office/drawing/2014/chart" uri="{C3380CC4-5D6E-409C-BE32-E72D297353CC}">
              <c16:uniqueId val="{00000000-7F1F-4369-8A36-8B3FEB085D06}"/>
            </c:ext>
          </c:extLst>
        </c:ser>
        <c:dLbls>
          <c:showLegendKey val="0"/>
          <c:showVal val="0"/>
          <c:showCatName val="0"/>
          <c:showSerName val="0"/>
          <c:showPercent val="0"/>
          <c:showBubbleSize val="0"/>
        </c:dLbls>
        <c:axId val="726034688"/>
        <c:axId val="848413928"/>
      </c:scatterChart>
      <c:valAx>
        <c:axId val="726034688"/>
        <c:scaling>
          <c:orientation val="minMax"/>
          <c:max val="9"/>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13928"/>
        <c:crosses val="autoZero"/>
        <c:crossBetween val="midCat"/>
      </c:valAx>
      <c:valAx>
        <c:axId val="848413928"/>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603468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Impact Severity Probability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'Safety - SubSurface Release'!$G$1:$G$7</c:f>
              <c:strCache>
                <c:ptCount val="7"/>
                <c:pt idx="0">
                  <c:v>None-Insignif</c:v>
                </c:pt>
                <c:pt idx="1">
                  <c:v>Minor</c:v>
                </c:pt>
                <c:pt idx="2">
                  <c:v>Moderate</c:v>
                </c:pt>
                <c:pt idx="3">
                  <c:v>Serious</c:v>
                </c:pt>
                <c:pt idx="4">
                  <c:v>Severe</c:v>
                </c:pt>
                <c:pt idx="5">
                  <c:v>Critical</c:v>
                </c:pt>
                <c:pt idx="6">
                  <c:v>Fatal</c:v>
                </c:pt>
              </c:strCache>
            </c:strRef>
          </c:cat>
          <c:val>
            <c:numRef>
              <c:f>'Safety - SubSurface Release'!$H$1:$H$7</c:f>
              <c:numCache>
                <c:formatCode>General</c:formatCode>
                <c:ptCount val="7"/>
                <c:pt idx="0">
                  <c:v>0.94169384000000012</c:v>
                </c:pt>
                <c:pt idx="1">
                  <c:v>2.2797999999999999E-2</c:v>
                </c:pt>
                <c:pt idx="2">
                  <c:v>1.8770999999999999E-2</c:v>
                </c:pt>
                <c:pt idx="3">
                  <c:v>1.1134000000000002E-2</c:v>
                </c:pt>
                <c:pt idx="4">
                  <c:v>3.4480000000000001E-3</c:v>
                </c:pt>
                <c:pt idx="5">
                  <c:v>1.3695999999999999E-3</c:v>
                </c:pt>
                <c:pt idx="6">
                  <c:v>7.8556000000000003E-4</c:v>
                </c:pt>
              </c:numCache>
            </c:numRef>
          </c:val>
          <c:extLst>
            <c:ext xmlns:c16="http://schemas.microsoft.com/office/drawing/2014/chart" uri="{C3380CC4-5D6E-409C-BE32-E72D297353CC}">
              <c16:uniqueId val="{00000000-2789-4447-B0D9-14C4D3B96370}"/>
            </c:ext>
          </c:extLst>
        </c:ser>
        <c:dLbls>
          <c:showLegendKey val="0"/>
          <c:showVal val="0"/>
          <c:showCatName val="0"/>
          <c:showSerName val="0"/>
          <c:showPercent val="0"/>
          <c:showBubbleSize val="0"/>
        </c:dLbls>
        <c:gapWidth val="219"/>
        <c:overlap val="-27"/>
        <c:axId val="728537800"/>
        <c:axId val="728544360"/>
      </c:barChart>
      <c:catAx>
        <c:axId val="728537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8544360"/>
        <c:crosses val="autoZero"/>
        <c:auto val="1"/>
        <c:lblAlgn val="ctr"/>
        <c:lblOffset val="100"/>
        <c:noMultiLvlLbl val="0"/>
      </c:catAx>
      <c:valAx>
        <c:axId val="7285443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85378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emf"/><Relationship Id="rId6" Type="http://schemas.openxmlformats.org/officeDocument/2006/relationships/image" Target="../media/image17.emf"/><Relationship Id="rId5" Type="http://schemas.openxmlformats.org/officeDocument/2006/relationships/image" Target="../media/image16.emf"/><Relationship Id="rId4" Type="http://schemas.openxmlformats.org/officeDocument/2006/relationships/image" Target="../media/image15.emf"/></Relationships>
</file>

<file path=xl/drawings/_rels/drawing7.xml.rels><?xml version="1.0" encoding="UTF-8" standalone="yes"?>
<Relationships xmlns="http://schemas.openxmlformats.org/package/2006/relationships"><Relationship Id="rId3" Type="http://schemas.openxmlformats.org/officeDocument/2006/relationships/image" Target="../media/image14.emf"/><Relationship Id="rId7" Type="http://schemas.openxmlformats.org/officeDocument/2006/relationships/image" Target="../media/image18.emf"/><Relationship Id="rId2" Type="http://schemas.openxmlformats.org/officeDocument/2006/relationships/image" Target="../media/image13.emf"/><Relationship Id="rId1" Type="http://schemas.openxmlformats.org/officeDocument/2006/relationships/image" Target="../media/image12.emf"/><Relationship Id="rId6" Type="http://schemas.openxmlformats.org/officeDocument/2006/relationships/image" Target="../media/image17.emf"/><Relationship Id="rId5" Type="http://schemas.openxmlformats.org/officeDocument/2006/relationships/image" Target="../media/image16.emf"/><Relationship Id="rId4" Type="http://schemas.openxmlformats.org/officeDocument/2006/relationships/image" Target="../media/image15.emf"/></Relationships>
</file>

<file path=xl/drawings/_rels/drawing8.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emf"/><Relationship Id="rId6" Type="http://schemas.openxmlformats.org/officeDocument/2006/relationships/image" Target="../media/image17.emf"/><Relationship Id="rId5" Type="http://schemas.openxmlformats.org/officeDocument/2006/relationships/image" Target="../media/image16.emf"/><Relationship Id="rId4" Type="http://schemas.openxmlformats.org/officeDocument/2006/relationships/image" Target="../media/image15.emf"/></Relationships>
</file>

<file path=xl/drawings/drawing1.xml><?xml version="1.0" encoding="utf-8"?>
<xdr:wsDr xmlns:xdr="http://schemas.openxmlformats.org/drawingml/2006/spreadsheetDrawing" xmlns:a="http://schemas.openxmlformats.org/drawingml/2006/main">
  <xdr:twoCellAnchor editAs="oneCell">
    <xdr:from>
      <xdr:col>9</xdr:col>
      <xdr:colOff>47625</xdr:colOff>
      <xdr:row>1</xdr:row>
      <xdr:rowOff>111230</xdr:rowOff>
    </xdr:from>
    <xdr:to>
      <xdr:col>15</xdr:col>
      <xdr:colOff>388235</xdr:colOff>
      <xdr:row>10</xdr:row>
      <xdr:rowOff>119525</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4924425" y="301730"/>
          <a:ext cx="4207760" cy="1722795"/>
        </a:xfrm>
        <a:prstGeom prst="rect">
          <a:avLst/>
        </a:prstGeom>
      </xdr:spPr>
    </xdr:pic>
    <xdr:clientData/>
  </xdr:twoCellAnchor>
  <xdr:twoCellAnchor editAs="oneCell">
    <xdr:from>
      <xdr:col>9</xdr:col>
      <xdr:colOff>47625</xdr:colOff>
      <xdr:row>12</xdr:row>
      <xdr:rowOff>28575</xdr:rowOff>
    </xdr:from>
    <xdr:to>
      <xdr:col>15</xdr:col>
      <xdr:colOff>390525</xdr:colOff>
      <xdr:row>23</xdr:row>
      <xdr:rowOff>27436</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4924425" y="2314575"/>
          <a:ext cx="4210050" cy="2094361"/>
        </a:xfrm>
        <a:prstGeom prst="rect">
          <a:avLst/>
        </a:prstGeom>
      </xdr:spPr>
    </xdr:pic>
    <xdr:clientData/>
  </xdr:twoCellAnchor>
  <xdr:twoCellAnchor>
    <xdr:from>
      <xdr:col>0</xdr:col>
      <xdr:colOff>476250</xdr:colOff>
      <xdr:row>12</xdr:row>
      <xdr:rowOff>76200</xdr:rowOff>
    </xdr:from>
    <xdr:to>
      <xdr:col>1</xdr:col>
      <xdr:colOff>66675</xdr:colOff>
      <xdr:row>12</xdr:row>
      <xdr:rowOff>85725</xdr:rowOff>
    </xdr:to>
    <xdr:cxnSp macro="">
      <xdr:nvCxnSpPr>
        <xdr:cNvPr id="7" name="Straight Arrow Connector 6">
          <a:extLst>
            <a:ext uri="{FF2B5EF4-FFF2-40B4-BE49-F238E27FC236}">
              <a16:creationId xmlns:a16="http://schemas.microsoft.com/office/drawing/2014/main" id="{00000000-0008-0000-0200-000007000000}"/>
            </a:ext>
          </a:extLst>
        </xdr:cNvPr>
        <xdr:cNvCxnSpPr/>
      </xdr:nvCxnSpPr>
      <xdr:spPr>
        <a:xfrm flipV="1">
          <a:off x="476250" y="2362200"/>
          <a:ext cx="200025" cy="95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295275</xdr:colOff>
      <xdr:row>24</xdr:row>
      <xdr:rowOff>114300</xdr:rowOff>
    </xdr:from>
    <xdr:to>
      <xdr:col>1</xdr:col>
      <xdr:colOff>19050</xdr:colOff>
      <xdr:row>24</xdr:row>
      <xdr:rowOff>114301</xdr:rowOff>
    </xdr:to>
    <xdr:cxnSp macro="">
      <xdr:nvCxnSpPr>
        <xdr:cNvPr id="9" name="Straight Arrow Connector 8">
          <a:extLst>
            <a:ext uri="{FF2B5EF4-FFF2-40B4-BE49-F238E27FC236}">
              <a16:creationId xmlns:a16="http://schemas.microsoft.com/office/drawing/2014/main" id="{00000000-0008-0000-0200-000009000000}"/>
            </a:ext>
          </a:extLst>
        </xdr:cNvPr>
        <xdr:cNvCxnSpPr/>
      </xdr:nvCxnSpPr>
      <xdr:spPr>
        <a:xfrm flipV="1">
          <a:off x="295275" y="4495800"/>
          <a:ext cx="485775" cy="1"/>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571500</xdr:colOff>
      <xdr:row>24</xdr:row>
      <xdr:rowOff>104775</xdr:rowOff>
    </xdr:from>
    <xdr:to>
      <xdr:col>3</xdr:col>
      <xdr:colOff>485775</xdr:colOff>
      <xdr:row>24</xdr:row>
      <xdr:rowOff>104775</xdr:rowOff>
    </xdr:to>
    <xdr:cxnSp macro="">
      <xdr:nvCxnSpPr>
        <xdr:cNvPr id="11" name="Straight Arrow Connector 10">
          <a:extLst>
            <a:ext uri="{FF2B5EF4-FFF2-40B4-BE49-F238E27FC236}">
              <a16:creationId xmlns:a16="http://schemas.microsoft.com/office/drawing/2014/main" id="{00000000-0008-0000-0200-00000B000000}"/>
            </a:ext>
          </a:extLst>
        </xdr:cNvPr>
        <xdr:cNvCxnSpPr/>
      </xdr:nvCxnSpPr>
      <xdr:spPr>
        <a:xfrm>
          <a:off x="1790700" y="4486275"/>
          <a:ext cx="523875"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295275</xdr:colOff>
      <xdr:row>28</xdr:row>
      <xdr:rowOff>114300</xdr:rowOff>
    </xdr:from>
    <xdr:to>
      <xdr:col>1</xdr:col>
      <xdr:colOff>19050</xdr:colOff>
      <xdr:row>28</xdr:row>
      <xdr:rowOff>114301</xdr:rowOff>
    </xdr:to>
    <xdr:cxnSp macro="">
      <xdr:nvCxnSpPr>
        <xdr:cNvPr id="5" name="Straight Arrow Connector 4">
          <a:extLst>
            <a:ext uri="{FF2B5EF4-FFF2-40B4-BE49-F238E27FC236}">
              <a16:creationId xmlns:a16="http://schemas.microsoft.com/office/drawing/2014/main" id="{00000000-0008-0000-0300-000005000000}"/>
            </a:ext>
          </a:extLst>
        </xdr:cNvPr>
        <xdr:cNvCxnSpPr/>
      </xdr:nvCxnSpPr>
      <xdr:spPr>
        <a:xfrm flipV="1">
          <a:off x="295275" y="4495800"/>
          <a:ext cx="485775" cy="1"/>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571500</xdr:colOff>
      <xdr:row>28</xdr:row>
      <xdr:rowOff>104775</xdr:rowOff>
    </xdr:from>
    <xdr:to>
      <xdr:col>3</xdr:col>
      <xdr:colOff>485775</xdr:colOff>
      <xdr:row>28</xdr:row>
      <xdr:rowOff>104775</xdr:rowOff>
    </xdr:to>
    <xdr:cxnSp macro="">
      <xdr:nvCxnSpPr>
        <xdr:cNvPr id="6" name="Straight Arrow Connector 5">
          <a:extLst>
            <a:ext uri="{FF2B5EF4-FFF2-40B4-BE49-F238E27FC236}">
              <a16:creationId xmlns:a16="http://schemas.microsoft.com/office/drawing/2014/main" id="{00000000-0008-0000-0300-000006000000}"/>
            </a:ext>
          </a:extLst>
        </xdr:cNvPr>
        <xdr:cNvCxnSpPr/>
      </xdr:nvCxnSpPr>
      <xdr:spPr>
        <a:xfrm>
          <a:off x="1943100" y="4486275"/>
          <a:ext cx="523875"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16</xdr:col>
      <xdr:colOff>472440</xdr:colOff>
      <xdr:row>0</xdr:row>
      <xdr:rowOff>33125</xdr:rowOff>
    </xdr:from>
    <xdr:to>
      <xdr:col>23</xdr:col>
      <xdr:colOff>291080</xdr:colOff>
      <xdr:row>9</xdr:row>
      <xdr:rowOff>41420</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2557760" y="33125"/>
          <a:ext cx="4207760" cy="1654215"/>
        </a:xfrm>
        <a:prstGeom prst="rect">
          <a:avLst/>
        </a:prstGeom>
      </xdr:spPr>
    </xdr:pic>
    <xdr:clientData/>
  </xdr:twoCellAnchor>
  <xdr:twoCellAnchor>
    <xdr:from>
      <xdr:col>3</xdr:col>
      <xdr:colOff>171450</xdr:colOff>
      <xdr:row>10</xdr:row>
      <xdr:rowOff>114300</xdr:rowOff>
    </xdr:from>
    <xdr:to>
      <xdr:col>5</xdr:col>
      <xdr:colOff>9525</xdr:colOff>
      <xdr:row>10</xdr:row>
      <xdr:rowOff>114301</xdr:rowOff>
    </xdr:to>
    <xdr:cxnSp macro="">
      <xdr:nvCxnSpPr>
        <xdr:cNvPr id="5" name="Straight Arrow Connector 4">
          <a:extLst>
            <a:ext uri="{FF2B5EF4-FFF2-40B4-BE49-F238E27FC236}">
              <a16:creationId xmlns:a16="http://schemas.microsoft.com/office/drawing/2014/main" id="{00000000-0008-0000-0400-000005000000}"/>
            </a:ext>
          </a:extLst>
        </xdr:cNvPr>
        <xdr:cNvCxnSpPr/>
      </xdr:nvCxnSpPr>
      <xdr:spPr>
        <a:xfrm>
          <a:off x="2543175" y="2019300"/>
          <a:ext cx="1181100" cy="1"/>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137160</xdr:colOff>
      <xdr:row>11</xdr:row>
      <xdr:rowOff>15240</xdr:rowOff>
    </xdr:from>
    <xdr:to>
      <xdr:col>22</xdr:col>
      <xdr:colOff>312420</xdr:colOff>
      <xdr:row>21</xdr:row>
      <xdr:rowOff>129540</xdr:rowOff>
    </xdr:to>
    <xdr:graphicFrame macro="">
      <xdr:nvGraphicFramePr>
        <xdr:cNvPr id="4" name="Chart 3">
          <a:extLst>
            <a:ext uri="{FF2B5EF4-FFF2-40B4-BE49-F238E27FC236}">
              <a16:creationId xmlns:a16="http://schemas.microsoft.com/office/drawing/2014/main" id="{D5C5DD65-B116-49F1-89A8-FAF4F65FEC3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15240</xdr:colOff>
      <xdr:row>0</xdr:row>
      <xdr:rowOff>30480</xdr:rowOff>
    </xdr:from>
    <xdr:to>
      <xdr:col>14</xdr:col>
      <xdr:colOff>30480</xdr:colOff>
      <xdr:row>10</xdr:row>
      <xdr:rowOff>114300</xdr:rowOff>
    </xdr:to>
    <xdr:graphicFrame macro="">
      <xdr:nvGraphicFramePr>
        <xdr:cNvPr id="7" name="Chart 6">
          <a:extLst>
            <a:ext uri="{FF2B5EF4-FFF2-40B4-BE49-F238E27FC236}">
              <a16:creationId xmlns:a16="http://schemas.microsoft.com/office/drawing/2014/main" id="{4E19E630-A2FB-41E4-A7F8-F730E13D367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257175</xdr:colOff>
      <xdr:row>4</xdr:row>
      <xdr:rowOff>66675</xdr:rowOff>
    </xdr:from>
    <xdr:to>
      <xdr:col>15</xdr:col>
      <xdr:colOff>152400</xdr:colOff>
      <xdr:row>22</xdr:row>
      <xdr:rowOff>273050</xdr:rowOff>
    </xdr:to>
    <xdr:pic>
      <xdr:nvPicPr>
        <xdr:cNvPr id="9" name="Picture 8">
          <a:extLst>
            <a:ext uri="{FF2B5EF4-FFF2-40B4-BE49-F238E27FC236}">
              <a16:creationId xmlns:a16="http://schemas.microsoft.com/office/drawing/2014/main" id="{00000000-0008-0000-0600-000009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10575" y="828675"/>
          <a:ext cx="2714625" cy="8197850"/>
        </a:xfrm>
        <a:prstGeom prst="rect">
          <a:avLst/>
        </a:prstGeom>
        <a:noFill/>
        <a:ln>
          <a:noFill/>
        </a:ln>
      </xdr:spPr>
    </xdr:pic>
    <xdr:clientData/>
  </xdr:twoCellAnchor>
  <xdr:twoCellAnchor editAs="oneCell">
    <xdr:from>
      <xdr:col>16</xdr:col>
      <xdr:colOff>0</xdr:colOff>
      <xdr:row>3</xdr:row>
      <xdr:rowOff>76200</xdr:rowOff>
    </xdr:from>
    <xdr:to>
      <xdr:col>18</xdr:col>
      <xdr:colOff>0</xdr:colOff>
      <xdr:row>18</xdr:row>
      <xdr:rowOff>188595</xdr:rowOff>
    </xdr:to>
    <xdr:pic>
      <xdr:nvPicPr>
        <xdr:cNvPr id="10" name="Picture 9">
          <a:extLst>
            <a:ext uri="{FF2B5EF4-FFF2-40B4-BE49-F238E27FC236}">
              <a16:creationId xmlns:a16="http://schemas.microsoft.com/office/drawing/2014/main" id="{00000000-0008-0000-0600-00000A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944725" y="800100"/>
          <a:ext cx="2257425" cy="8761095"/>
        </a:xfrm>
        <a:prstGeom prst="rect">
          <a:avLst/>
        </a:prstGeom>
        <a:noFill/>
        <a:ln>
          <a:noFill/>
        </a:ln>
      </xdr:spPr>
    </xdr:pic>
    <xdr:clientData/>
  </xdr:twoCellAnchor>
  <xdr:twoCellAnchor>
    <xdr:from>
      <xdr:col>12</xdr:col>
      <xdr:colOff>0</xdr:colOff>
      <xdr:row>62</xdr:row>
      <xdr:rowOff>0</xdr:rowOff>
    </xdr:from>
    <xdr:to>
      <xdr:col>13</xdr:col>
      <xdr:colOff>247650</xdr:colOff>
      <xdr:row>62</xdr:row>
      <xdr:rowOff>171450</xdr:rowOff>
    </xdr:to>
    <xdr:pic>
      <xdr:nvPicPr>
        <xdr:cNvPr id="7" name="Picture 6">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944100" y="26498550"/>
          <a:ext cx="137160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180975</xdr:colOff>
      <xdr:row>96</xdr:row>
      <xdr:rowOff>9525</xdr:rowOff>
    </xdr:from>
    <xdr:to>
      <xdr:col>12</xdr:col>
      <xdr:colOff>228600</xdr:colOff>
      <xdr:row>96</xdr:row>
      <xdr:rowOff>180975</xdr:rowOff>
    </xdr:to>
    <xdr:pic>
      <xdr:nvPicPr>
        <xdr:cNvPr id="12" name="Picture 11">
          <a:extLst>
            <a:ext uri="{FF2B5EF4-FFF2-40B4-BE49-F238E27FC236}">
              <a16:creationId xmlns:a16="http://schemas.microsoft.com/office/drawing/2014/main" id="{00000000-0008-0000-0600-00000C0000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763000" y="33366075"/>
          <a:ext cx="140970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95250</xdr:colOff>
      <xdr:row>124</xdr:row>
      <xdr:rowOff>19050</xdr:rowOff>
    </xdr:from>
    <xdr:to>
      <xdr:col>11</xdr:col>
      <xdr:colOff>47625</xdr:colOff>
      <xdr:row>125</xdr:row>
      <xdr:rowOff>0</xdr:rowOff>
    </xdr:to>
    <xdr:pic>
      <xdr:nvPicPr>
        <xdr:cNvPr id="14" name="Picture 13">
          <a:extLst>
            <a:ext uri="{FF2B5EF4-FFF2-40B4-BE49-F238E27FC236}">
              <a16:creationId xmlns:a16="http://schemas.microsoft.com/office/drawing/2014/main" id="{00000000-0008-0000-0600-00000E000000}"/>
            </a:ext>
          </a:extLst>
        </xdr:cNvPr>
        <xdr:cNvPicPr>
          <a:picLocks noChangeAspect="1" noChangeArrowheads="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629275" y="39223950"/>
          <a:ext cx="3000375"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95250</xdr:colOff>
      <xdr:row>154</xdr:row>
      <xdr:rowOff>0</xdr:rowOff>
    </xdr:from>
    <xdr:to>
      <xdr:col>9</xdr:col>
      <xdr:colOff>85725</xdr:colOff>
      <xdr:row>154</xdr:row>
      <xdr:rowOff>171450</xdr:rowOff>
    </xdr:to>
    <xdr:pic>
      <xdr:nvPicPr>
        <xdr:cNvPr id="18" name="Picture 17">
          <a:extLst>
            <a:ext uri="{FF2B5EF4-FFF2-40B4-BE49-F238E27FC236}">
              <a16:creationId xmlns:a16="http://schemas.microsoft.com/office/drawing/2014/main" id="{00000000-0008-0000-0600-000012000000}"/>
            </a:ext>
          </a:extLst>
        </xdr:cNvPr>
        <xdr:cNvPicPr>
          <a:picLocks noChangeAspect="1" noChangeArrowheads="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019675" y="45281850"/>
          <a:ext cx="2428875"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219075</xdr:colOff>
      <xdr:row>181</xdr:row>
      <xdr:rowOff>0</xdr:rowOff>
    </xdr:from>
    <xdr:to>
      <xdr:col>9</xdr:col>
      <xdr:colOff>171450</xdr:colOff>
      <xdr:row>181</xdr:row>
      <xdr:rowOff>171450</xdr:rowOff>
    </xdr:to>
    <xdr:pic>
      <xdr:nvPicPr>
        <xdr:cNvPr id="19" name="Picture 18">
          <a:extLst>
            <a:ext uri="{FF2B5EF4-FFF2-40B4-BE49-F238E27FC236}">
              <a16:creationId xmlns:a16="http://schemas.microsoft.com/office/drawing/2014/main" id="{00000000-0008-0000-0600-000013000000}"/>
            </a:ext>
          </a:extLst>
        </xdr:cNvPr>
        <xdr:cNvPicPr>
          <a:picLocks noChangeAspect="1" noChangeArrowheads="1"/>
        </xdr:cNvPicPr>
      </xdr:nvPicPr>
      <xdr:blipFill>
        <a:blip xmlns:r="http://schemas.openxmlformats.org/officeDocument/2006/relationships" r:embed="rId7">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143500" y="50787300"/>
          <a:ext cx="2390775"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133350</xdr:colOff>
      <xdr:row>235</xdr:row>
      <xdr:rowOff>0</xdr:rowOff>
    </xdr:from>
    <xdr:to>
      <xdr:col>10</xdr:col>
      <xdr:colOff>533400</xdr:colOff>
      <xdr:row>235</xdr:row>
      <xdr:rowOff>171450</xdr:rowOff>
    </xdr:to>
    <xdr:pic>
      <xdr:nvPicPr>
        <xdr:cNvPr id="20" name="Picture 19">
          <a:extLst>
            <a:ext uri="{FF2B5EF4-FFF2-40B4-BE49-F238E27FC236}">
              <a16:creationId xmlns:a16="http://schemas.microsoft.com/office/drawing/2014/main" id="{00000000-0008-0000-0600-000014000000}"/>
            </a:ext>
          </a:extLst>
        </xdr:cNvPr>
        <xdr:cNvPicPr>
          <a:picLocks noChangeAspect="1" noChangeArrowheads="1"/>
        </xdr:cNvPicPr>
      </xdr:nvPicPr>
      <xdr:blipFill>
        <a:blip xmlns:r="http://schemas.openxmlformats.org/officeDocument/2006/relationships" r:embed="rId8">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886575" y="61817250"/>
          <a:ext cx="16192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114300</xdr:colOff>
      <xdr:row>248</xdr:row>
      <xdr:rowOff>9525</xdr:rowOff>
    </xdr:from>
    <xdr:to>
      <xdr:col>11</xdr:col>
      <xdr:colOff>200025</xdr:colOff>
      <xdr:row>248</xdr:row>
      <xdr:rowOff>180975</xdr:rowOff>
    </xdr:to>
    <xdr:pic>
      <xdr:nvPicPr>
        <xdr:cNvPr id="22" name="Picture 21">
          <a:extLst>
            <a:ext uri="{FF2B5EF4-FFF2-40B4-BE49-F238E27FC236}">
              <a16:creationId xmlns:a16="http://schemas.microsoft.com/office/drawing/2014/main" id="{00000000-0008-0000-0600-000016000000}"/>
            </a:ext>
          </a:extLst>
        </xdr:cNvPr>
        <xdr:cNvPicPr>
          <a:picLocks noChangeAspect="1" noChangeArrowheads="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867525" y="64522350"/>
          <a:ext cx="1914525"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3686175</xdr:colOff>
      <xdr:row>15</xdr:row>
      <xdr:rowOff>114300</xdr:rowOff>
    </xdr:from>
    <xdr:to>
      <xdr:col>1</xdr:col>
      <xdr:colOff>4314825</xdr:colOff>
      <xdr:row>15</xdr:row>
      <xdr:rowOff>114300</xdr:rowOff>
    </xdr:to>
    <xdr:cxnSp macro="">
      <xdr:nvCxnSpPr>
        <xdr:cNvPr id="4" name="Straight Arrow Connector 3">
          <a:extLst>
            <a:ext uri="{FF2B5EF4-FFF2-40B4-BE49-F238E27FC236}">
              <a16:creationId xmlns:a16="http://schemas.microsoft.com/office/drawing/2014/main" id="{00000000-0008-0000-0700-000004000000}"/>
            </a:ext>
          </a:extLst>
        </xdr:cNvPr>
        <xdr:cNvCxnSpPr/>
      </xdr:nvCxnSpPr>
      <xdr:spPr>
        <a:xfrm>
          <a:off x="6324600" y="6429375"/>
          <a:ext cx="628650"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editAs="oneCell">
    <xdr:from>
      <xdr:col>21</xdr:col>
      <xdr:colOff>0</xdr:colOff>
      <xdr:row>73</xdr:row>
      <xdr:rowOff>0</xdr:rowOff>
    </xdr:from>
    <xdr:to>
      <xdr:col>32</xdr:col>
      <xdr:colOff>175260</xdr:colOff>
      <xdr:row>89</xdr:row>
      <xdr:rowOff>68580</xdr:rowOff>
    </xdr:to>
    <xdr:pic>
      <xdr:nvPicPr>
        <xdr:cNvPr id="3" name="Picture 2">
          <a:extLst>
            <a:ext uri="{FF2B5EF4-FFF2-40B4-BE49-F238E27FC236}">
              <a16:creationId xmlns:a16="http://schemas.microsoft.com/office/drawing/2014/main" id="{609FCCDC-5F85-4EEC-B442-3C764D9597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016960" y="13898880"/>
          <a:ext cx="6880860" cy="29946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90</xdr:row>
      <xdr:rowOff>0</xdr:rowOff>
    </xdr:from>
    <xdr:to>
      <xdr:col>31</xdr:col>
      <xdr:colOff>205740</xdr:colOff>
      <xdr:row>100</xdr:row>
      <xdr:rowOff>106680</xdr:rowOff>
    </xdr:to>
    <xdr:pic>
      <xdr:nvPicPr>
        <xdr:cNvPr id="5" name="Picture 4">
          <a:extLst>
            <a:ext uri="{FF2B5EF4-FFF2-40B4-BE49-F238E27FC236}">
              <a16:creationId xmlns:a16="http://schemas.microsoft.com/office/drawing/2014/main" id="{AE639DC4-9D01-4B25-9B6F-9382E22CBA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016960" y="17007840"/>
          <a:ext cx="6301740" cy="1935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403860</xdr:colOff>
      <xdr:row>78</xdr:row>
      <xdr:rowOff>30480</xdr:rowOff>
    </xdr:from>
    <xdr:to>
      <xdr:col>43</xdr:col>
      <xdr:colOff>228600</xdr:colOff>
      <xdr:row>101</xdr:row>
      <xdr:rowOff>84676</xdr:rowOff>
    </xdr:to>
    <xdr:pic>
      <xdr:nvPicPr>
        <xdr:cNvPr id="7" name="Picture 6">
          <a:extLst>
            <a:ext uri="{FF2B5EF4-FFF2-40B4-BE49-F238E27FC236}">
              <a16:creationId xmlns:a16="http://schemas.microsoft.com/office/drawing/2014/main" id="{CDD4F833-C670-4BDF-BF5C-8A7345D7783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126420" y="14843760"/>
          <a:ext cx="6530340" cy="42604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502920</xdr:colOff>
      <xdr:row>63</xdr:row>
      <xdr:rowOff>7620</xdr:rowOff>
    </xdr:from>
    <xdr:to>
      <xdr:col>43</xdr:col>
      <xdr:colOff>411480</xdr:colOff>
      <xdr:row>75</xdr:row>
      <xdr:rowOff>136186</xdr:rowOff>
    </xdr:to>
    <xdr:pic>
      <xdr:nvPicPr>
        <xdr:cNvPr id="9" name="Picture 8">
          <a:extLst>
            <a:ext uri="{FF2B5EF4-FFF2-40B4-BE49-F238E27FC236}">
              <a16:creationId xmlns:a16="http://schemas.microsoft.com/office/drawing/2014/main" id="{7F29F409-9531-4C34-80C9-54E5A3C2669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6225480" y="12077700"/>
          <a:ext cx="6614160" cy="23231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44</xdr:col>
      <xdr:colOff>0</xdr:colOff>
      <xdr:row>61</xdr:row>
      <xdr:rowOff>0</xdr:rowOff>
    </xdr:from>
    <xdr:to>
      <xdr:col>55</xdr:col>
      <xdr:colOff>266700</xdr:colOff>
      <xdr:row>70</xdr:row>
      <xdr:rowOff>91440</xdr:rowOff>
    </xdr:to>
    <xdr:pic>
      <xdr:nvPicPr>
        <xdr:cNvPr id="11" name="Picture 10">
          <a:extLst>
            <a:ext uri="{FF2B5EF4-FFF2-40B4-BE49-F238E27FC236}">
              <a16:creationId xmlns:a16="http://schemas.microsoft.com/office/drawing/2014/main" id="{F8D157C6-D12F-4D88-B59A-920372A5423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3037760" y="11704320"/>
          <a:ext cx="6972300" cy="1737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44</xdr:col>
      <xdr:colOff>0</xdr:colOff>
      <xdr:row>71</xdr:row>
      <xdr:rowOff>0</xdr:rowOff>
    </xdr:from>
    <xdr:to>
      <xdr:col>55</xdr:col>
      <xdr:colOff>449580</xdr:colOff>
      <xdr:row>96</xdr:row>
      <xdr:rowOff>175260</xdr:rowOff>
    </xdr:to>
    <xdr:pic>
      <xdr:nvPicPr>
        <xdr:cNvPr id="13" name="Picture 12">
          <a:extLst>
            <a:ext uri="{FF2B5EF4-FFF2-40B4-BE49-F238E27FC236}">
              <a16:creationId xmlns:a16="http://schemas.microsoft.com/office/drawing/2014/main" id="{57259342-0F94-4923-8A21-9618CBEFF58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3037760" y="13533120"/>
          <a:ext cx="7155180" cy="4747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21</xdr:col>
      <xdr:colOff>0</xdr:colOff>
      <xdr:row>73</xdr:row>
      <xdr:rowOff>0</xdr:rowOff>
    </xdr:from>
    <xdr:to>
      <xdr:col>32</xdr:col>
      <xdr:colOff>175260</xdr:colOff>
      <xdr:row>89</xdr:row>
      <xdr:rowOff>68580</xdr:rowOff>
    </xdr:to>
    <xdr:pic>
      <xdr:nvPicPr>
        <xdr:cNvPr id="2" name="Picture 1">
          <a:extLst>
            <a:ext uri="{FF2B5EF4-FFF2-40B4-BE49-F238E27FC236}">
              <a16:creationId xmlns:a16="http://schemas.microsoft.com/office/drawing/2014/main" id="{BECAA05A-E9DE-4A84-AA38-26A79E1ED9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127700" y="13898880"/>
          <a:ext cx="6880860" cy="29946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90</xdr:row>
      <xdr:rowOff>0</xdr:rowOff>
    </xdr:from>
    <xdr:to>
      <xdr:col>31</xdr:col>
      <xdr:colOff>205740</xdr:colOff>
      <xdr:row>100</xdr:row>
      <xdr:rowOff>106680</xdr:rowOff>
    </xdr:to>
    <xdr:pic>
      <xdr:nvPicPr>
        <xdr:cNvPr id="3" name="Picture 2">
          <a:extLst>
            <a:ext uri="{FF2B5EF4-FFF2-40B4-BE49-F238E27FC236}">
              <a16:creationId xmlns:a16="http://schemas.microsoft.com/office/drawing/2014/main" id="{D99D96D3-2F3C-424B-BBE5-13D3850AB2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127700" y="17007840"/>
          <a:ext cx="6301740" cy="1935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403860</xdr:colOff>
      <xdr:row>78</xdr:row>
      <xdr:rowOff>30480</xdr:rowOff>
    </xdr:from>
    <xdr:to>
      <xdr:col>43</xdr:col>
      <xdr:colOff>228600</xdr:colOff>
      <xdr:row>101</xdr:row>
      <xdr:rowOff>84676</xdr:rowOff>
    </xdr:to>
    <xdr:pic>
      <xdr:nvPicPr>
        <xdr:cNvPr id="4" name="Picture 3">
          <a:extLst>
            <a:ext uri="{FF2B5EF4-FFF2-40B4-BE49-F238E27FC236}">
              <a16:creationId xmlns:a16="http://schemas.microsoft.com/office/drawing/2014/main" id="{23334948-6111-4AE2-8C4B-B96A1D886FC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237160" y="14843760"/>
          <a:ext cx="6530340" cy="42604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502920</xdr:colOff>
      <xdr:row>63</xdr:row>
      <xdr:rowOff>7620</xdr:rowOff>
    </xdr:from>
    <xdr:to>
      <xdr:col>43</xdr:col>
      <xdr:colOff>411480</xdr:colOff>
      <xdr:row>75</xdr:row>
      <xdr:rowOff>136186</xdr:rowOff>
    </xdr:to>
    <xdr:pic>
      <xdr:nvPicPr>
        <xdr:cNvPr id="5" name="Picture 4">
          <a:extLst>
            <a:ext uri="{FF2B5EF4-FFF2-40B4-BE49-F238E27FC236}">
              <a16:creationId xmlns:a16="http://schemas.microsoft.com/office/drawing/2014/main" id="{655E92D4-195C-4B66-BA5A-6844CCC78D4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336220" y="12077700"/>
          <a:ext cx="6614160" cy="23231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44</xdr:col>
      <xdr:colOff>0</xdr:colOff>
      <xdr:row>61</xdr:row>
      <xdr:rowOff>0</xdr:rowOff>
    </xdr:from>
    <xdr:to>
      <xdr:col>55</xdr:col>
      <xdr:colOff>266700</xdr:colOff>
      <xdr:row>70</xdr:row>
      <xdr:rowOff>91440</xdr:rowOff>
    </xdr:to>
    <xdr:pic>
      <xdr:nvPicPr>
        <xdr:cNvPr id="6" name="Picture 5">
          <a:extLst>
            <a:ext uri="{FF2B5EF4-FFF2-40B4-BE49-F238E27FC236}">
              <a16:creationId xmlns:a16="http://schemas.microsoft.com/office/drawing/2014/main" id="{6A6A8050-7FB1-4371-9907-CEE2FBC1777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5148500" y="11704320"/>
          <a:ext cx="6972300" cy="1737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44</xdr:col>
      <xdr:colOff>0</xdr:colOff>
      <xdr:row>71</xdr:row>
      <xdr:rowOff>0</xdr:rowOff>
    </xdr:from>
    <xdr:to>
      <xdr:col>55</xdr:col>
      <xdr:colOff>449580</xdr:colOff>
      <xdr:row>96</xdr:row>
      <xdr:rowOff>175260</xdr:rowOff>
    </xdr:to>
    <xdr:pic>
      <xdr:nvPicPr>
        <xdr:cNvPr id="7" name="Picture 6">
          <a:extLst>
            <a:ext uri="{FF2B5EF4-FFF2-40B4-BE49-F238E27FC236}">
              <a16:creationId xmlns:a16="http://schemas.microsoft.com/office/drawing/2014/main" id="{D15AF8D1-78F9-482A-95CB-B80FC94A718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5148500" y="13533120"/>
          <a:ext cx="7155180" cy="4747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114300</xdr:colOff>
      <xdr:row>178</xdr:row>
      <xdr:rowOff>59711</xdr:rowOff>
    </xdr:from>
    <xdr:to>
      <xdr:col>10</xdr:col>
      <xdr:colOff>1257300</xdr:colOff>
      <xdr:row>189</xdr:row>
      <xdr:rowOff>75185</xdr:rowOff>
    </xdr:to>
    <xdr:pic>
      <xdr:nvPicPr>
        <xdr:cNvPr id="10" name="Picture 9">
          <a:extLst>
            <a:ext uri="{FF2B5EF4-FFF2-40B4-BE49-F238E27FC236}">
              <a16:creationId xmlns:a16="http://schemas.microsoft.com/office/drawing/2014/main" id="{DC4F1932-A838-4B14-A23D-042B34D874FF}"/>
            </a:ext>
          </a:extLst>
        </xdr:cNvPr>
        <xdr:cNvPicPr>
          <a:picLocks noChangeAspect="1"/>
        </xdr:cNvPicPr>
      </xdr:nvPicPr>
      <xdr:blipFill>
        <a:blip xmlns:r="http://schemas.openxmlformats.org/officeDocument/2006/relationships" r:embed="rId7"/>
        <a:stretch>
          <a:fillRect/>
        </a:stretch>
      </xdr:blipFill>
      <xdr:spPr>
        <a:xfrm>
          <a:off x="12626340" y="33526751"/>
          <a:ext cx="4038600" cy="202715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21</xdr:col>
      <xdr:colOff>0</xdr:colOff>
      <xdr:row>73</xdr:row>
      <xdr:rowOff>0</xdr:rowOff>
    </xdr:from>
    <xdr:to>
      <xdr:col>32</xdr:col>
      <xdr:colOff>175260</xdr:colOff>
      <xdr:row>89</xdr:row>
      <xdr:rowOff>68580</xdr:rowOff>
    </xdr:to>
    <xdr:pic>
      <xdr:nvPicPr>
        <xdr:cNvPr id="2" name="Picture 1">
          <a:extLst>
            <a:ext uri="{FF2B5EF4-FFF2-40B4-BE49-F238E27FC236}">
              <a16:creationId xmlns:a16="http://schemas.microsoft.com/office/drawing/2014/main" id="{70610B1D-5438-4063-943D-A5ECFB6812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127700" y="13898880"/>
          <a:ext cx="6880860" cy="29946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90</xdr:row>
      <xdr:rowOff>0</xdr:rowOff>
    </xdr:from>
    <xdr:to>
      <xdr:col>31</xdr:col>
      <xdr:colOff>205740</xdr:colOff>
      <xdr:row>100</xdr:row>
      <xdr:rowOff>106680</xdr:rowOff>
    </xdr:to>
    <xdr:pic>
      <xdr:nvPicPr>
        <xdr:cNvPr id="3" name="Picture 2">
          <a:extLst>
            <a:ext uri="{FF2B5EF4-FFF2-40B4-BE49-F238E27FC236}">
              <a16:creationId xmlns:a16="http://schemas.microsoft.com/office/drawing/2014/main" id="{BA4348B5-65F0-4F0B-919A-2475E042C3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127700" y="17007840"/>
          <a:ext cx="6301740" cy="1935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403860</xdr:colOff>
      <xdr:row>78</xdr:row>
      <xdr:rowOff>30480</xdr:rowOff>
    </xdr:from>
    <xdr:to>
      <xdr:col>43</xdr:col>
      <xdr:colOff>228600</xdr:colOff>
      <xdr:row>101</xdr:row>
      <xdr:rowOff>84676</xdr:rowOff>
    </xdr:to>
    <xdr:pic>
      <xdr:nvPicPr>
        <xdr:cNvPr id="4" name="Picture 3">
          <a:extLst>
            <a:ext uri="{FF2B5EF4-FFF2-40B4-BE49-F238E27FC236}">
              <a16:creationId xmlns:a16="http://schemas.microsoft.com/office/drawing/2014/main" id="{E001AD0B-C953-4546-8C79-038CE20A162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237160" y="14843760"/>
          <a:ext cx="6530340" cy="42604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502920</xdr:colOff>
      <xdr:row>63</xdr:row>
      <xdr:rowOff>7620</xdr:rowOff>
    </xdr:from>
    <xdr:to>
      <xdr:col>43</xdr:col>
      <xdr:colOff>411480</xdr:colOff>
      <xdr:row>75</xdr:row>
      <xdr:rowOff>136186</xdr:rowOff>
    </xdr:to>
    <xdr:pic>
      <xdr:nvPicPr>
        <xdr:cNvPr id="5" name="Picture 4">
          <a:extLst>
            <a:ext uri="{FF2B5EF4-FFF2-40B4-BE49-F238E27FC236}">
              <a16:creationId xmlns:a16="http://schemas.microsoft.com/office/drawing/2014/main" id="{95DFF454-0A14-4C3F-8813-27AC93A88D7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336220" y="12077700"/>
          <a:ext cx="6614160" cy="23231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44</xdr:col>
      <xdr:colOff>0</xdr:colOff>
      <xdr:row>61</xdr:row>
      <xdr:rowOff>0</xdr:rowOff>
    </xdr:from>
    <xdr:to>
      <xdr:col>55</xdr:col>
      <xdr:colOff>266700</xdr:colOff>
      <xdr:row>70</xdr:row>
      <xdr:rowOff>91440</xdr:rowOff>
    </xdr:to>
    <xdr:pic>
      <xdr:nvPicPr>
        <xdr:cNvPr id="6" name="Picture 5">
          <a:extLst>
            <a:ext uri="{FF2B5EF4-FFF2-40B4-BE49-F238E27FC236}">
              <a16:creationId xmlns:a16="http://schemas.microsoft.com/office/drawing/2014/main" id="{3DC51C9B-1E47-489F-BE5B-8D5B95DC7A1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5148500" y="11704320"/>
          <a:ext cx="6972300" cy="1737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44</xdr:col>
      <xdr:colOff>0</xdr:colOff>
      <xdr:row>71</xdr:row>
      <xdr:rowOff>0</xdr:rowOff>
    </xdr:from>
    <xdr:to>
      <xdr:col>55</xdr:col>
      <xdr:colOff>449580</xdr:colOff>
      <xdr:row>96</xdr:row>
      <xdr:rowOff>175260</xdr:rowOff>
    </xdr:to>
    <xdr:pic>
      <xdr:nvPicPr>
        <xdr:cNvPr id="7" name="Picture 6">
          <a:extLst>
            <a:ext uri="{FF2B5EF4-FFF2-40B4-BE49-F238E27FC236}">
              <a16:creationId xmlns:a16="http://schemas.microsoft.com/office/drawing/2014/main" id="{A5382A73-525F-444A-8B77-B56ECACF306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5148500" y="13533120"/>
          <a:ext cx="7155180" cy="4747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10.bin"/><Relationship Id="rId4"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8.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12"/>
  <sheetViews>
    <sheetView topLeftCell="A3" zoomScale="125" zoomScaleNormal="125" workbookViewId="0">
      <selection activeCell="C18" sqref="C18"/>
    </sheetView>
  </sheetViews>
  <sheetFormatPr defaultRowHeight="14.4" x14ac:dyDescent="0.3"/>
  <sheetData>
    <row r="1" spans="1:2" x14ac:dyDescent="0.3">
      <c r="A1" s="86" t="s">
        <v>683</v>
      </c>
    </row>
    <row r="3" spans="1:2" x14ac:dyDescent="0.3">
      <c r="A3" t="s">
        <v>646</v>
      </c>
    </row>
    <row r="5" spans="1:2" x14ac:dyDescent="0.3">
      <c r="A5" t="s">
        <v>688</v>
      </c>
    </row>
    <row r="6" spans="1:2" x14ac:dyDescent="0.3">
      <c r="B6" t="s">
        <v>684</v>
      </c>
    </row>
    <row r="7" spans="1:2" x14ac:dyDescent="0.3">
      <c r="B7" t="s">
        <v>685</v>
      </c>
    </row>
    <row r="8" spans="1:2" x14ac:dyDescent="0.3">
      <c r="B8" t="s">
        <v>686</v>
      </c>
    </row>
    <row r="9" spans="1:2" x14ac:dyDescent="0.3">
      <c r="B9" t="s">
        <v>687</v>
      </c>
    </row>
    <row r="11" spans="1:2" x14ac:dyDescent="0.3">
      <c r="A11" t="s">
        <v>689</v>
      </c>
    </row>
    <row r="12" spans="1:2" x14ac:dyDescent="0.3">
      <c r="B12" t="s">
        <v>690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A23025-E844-497F-AAA6-0E92F638936B}">
  <dimension ref="A1:BB178"/>
  <sheetViews>
    <sheetView topLeftCell="AJ31" workbookViewId="0">
      <selection activeCell="BF54" sqref="BF54"/>
    </sheetView>
  </sheetViews>
  <sheetFormatPr defaultRowHeight="14.4" x14ac:dyDescent="0.3"/>
  <cols>
    <col min="1" max="1" width="46.33203125" customWidth="1"/>
    <col min="2" max="2" width="4" customWidth="1"/>
    <col min="3" max="3" width="25.109375" customWidth="1"/>
    <col min="4" max="4" width="30.33203125" customWidth="1"/>
    <col min="5" max="5" width="28.21875" customWidth="1"/>
    <col min="6" max="6" width="29" customWidth="1"/>
    <col min="7" max="7" width="17.109375" customWidth="1"/>
    <col min="8" max="8" width="2.33203125" customWidth="1"/>
    <col min="9" max="9" width="21.109375" customWidth="1"/>
    <col min="10" max="12" width="21.109375" style="166" customWidth="1"/>
    <col min="13" max="13" width="21.109375" style="217" customWidth="1"/>
    <col min="14" max="14" width="43.6640625" customWidth="1"/>
    <col min="15" max="18" width="23.88671875" customWidth="1"/>
  </cols>
  <sheetData>
    <row r="1" spans="1:18" x14ac:dyDescent="0.3">
      <c r="A1" s="86" t="s">
        <v>975</v>
      </c>
      <c r="D1" t="s">
        <v>868</v>
      </c>
      <c r="O1" s="166"/>
      <c r="P1" s="166"/>
      <c r="Q1" s="166"/>
      <c r="R1" s="166"/>
    </row>
    <row r="2" spans="1:18" x14ac:dyDescent="0.3">
      <c r="D2">
        <f>3.1416*D11^2</f>
        <v>1368480.96</v>
      </c>
      <c r="E2" s="178">
        <f t="shared" ref="E2:G2" si="0">3.1416*E11^2</f>
        <v>342120.24</v>
      </c>
      <c r="F2" s="178">
        <f t="shared" si="0"/>
        <v>85530.06</v>
      </c>
      <c r="G2" s="178">
        <f t="shared" si="0"/>
        <v>85530.06</v>
      </c>
      <c r="O2" s="166"/>
      <c r="P2" s="166"/>
      <c r="Q2" s="166"/>
      <c r="R2" s="166"/>
    </row>
    <row r="3" spans="1:18" x14ac:dyDescent="0.3">
      <c r="A3" s="86" t="s">
        <v>741</v>
      </c>
      <c r="D3" t="s">
        <v>869</v>
      </c>
      <c r="O3" s="166"/>
      <c r="P3" s="166"/>
      <c r="Q3" s="166"/>
      <c r="R3" s="166"/>
    </row>
    <row r="4" spans="1:18" x14ac:dyDescent="0.3">
      <c r="A4" s="86" t="s">
        <v>737</v>
      </c>
      <c r="D4">
        <f>5280^2</f>
        <v>27878400</v>
      </c>
      <c r="E4" s="178">
        <f t="shared" ref="E4:G4" si="1">5280^2</f>
        <v>27878400</v>
      </c>
      <c r="F4" s="178">
        <f t="shared" si="1"/>
        <v>27878400</v>
      </c>
      <c r="G4" s="178">
        <f t="shared" si="1"/>
        <v>27878400</v>
      </c>
      <c r="O4" s="166"/>
      <c r="P4" s="166"/>
      <c r="Q4" s="166"/>
      <c r="R4" s="166"/>
    </row>
    <row r="5" spans="1:18" x14ac:dyDescent="0.3">
      <c r="C5" t="s">
        <v>870</v>
      </c>
      <c r="D5">
        <f>D2/D4</f>
        <v>4.9087499999999999E-2</v>
      </c>
      <c r="E5" s="178">
        <f t="shared" ref="E5:G5" si="2">E2/E4</f>
        <v>1.2271875E-2</v>
      </c>
      <c r="F5" s="178">
        <f t="shared" si="2"/>
        <v>3.0679687499999999E-3</v>
      </c>
      <c r="G5" s="178">
        <f t="shared" si="2"/>
        <v>3.0679687499999999E-3</v>
      </c>
      <c r="O5" s="242" t="s">
        <v>779</v>
      </c>
      <c r="P5" s="242"/>
      <c r="Q5" s="242"/>
      <c r="R5" s="242"/>
    </row>
    <row r="6" spans="1:18" s="178" customFormat="1" x14ac:dyDescent="0.3">
      <c r="D6" s="178">
        <f>D5*D12</f>
        <v>53.996249999999996</v>
      </c>
      <c r="E6" s="178">
        <f t="shared" ref="E6:G6" si="3">E5*E12</f>
        <v>1.2149156249999999</v>
      </c>
      <c r="F6" s="178">
        <f t="shared" si="3"/>
        <v>2.761171875E-2</v>
      </c>
      <c r="G6" s="178">
        <f t="shared" si="3"/>
        <v>3.0679687499999999E-3</v>
      </c>
      <c r="M6" s="217"/>
      <c r="O6" s="177"/>
      <c r="P6" s="177"/>
      <c r="Q6" s="177"/>
      <c r="R6" s="177"/>
    </row>
    <row r="7" spans="1:18" s="167" customFormat="1" ht="57.6" x14ac:dyDescent="0.3">
      <c r="D7" s="107" t="s">
        <v>740</v>
      </c>
      <c r="E7" s="107" t="s">
        <v>738</v>
      </c>
      <c r="F7" s="107" t="s">
        <v>739</v>
      </c>
      <c r="G7" s="107" t="s">
        <v>531</v>
      </c>
      <c r="I7" s="176" t="s">
        <v>775</v>
      </c>
      <c r="J7" s="176" t="s">
        <v>814</v>
      </c>
      <c r="K7" s="176" t="s">
        <v>776</v>
      </c>
      <c r="L7" s="176" t="s">
        <v>777</v>
      </c>
      <c r="M7" s="225"/>
      <c r="O7" s="107" t="s">
        <v>740</v>
      </c>
      <c r="P7" s="107" t="s">
        <v>738</v>
      </c>
      <c r="Q7" s="107" t="s">
        <v>739</v>
      </c>
      <c r="R7" s="107" t="s">
        <v>531</v>
      </c>
    </row>
    <row r="8" spans="1:18" x14ac:dyDescent="0.3">
      <c r="A8" t="s">
        <v>743</v>
      </c>
      <c r="D8" t="s">
        <v>746</v>
      </c>
      <c r="E8" t="s">
        <v>750</v>
      </c>
      <c r="F8" t="s">
        <v>751</v>
      </c>
      <c r="G8" t="s">
        <v>767</v>
      </c>
      <c r="I8" s="2" t="str">
        <f>D8</f>
        <v>100+ (use 300)</v>
      </c>
      <c r="J8" s="2" t="str">
        <f t="shared" ref="J8:L12" si="4">E8</f>
        <v>25-99 (use 60)</v>
      </c>
      <c r="K8" s="2" t="str">
        <f t="shared" si="4"/>
        <v>30 or less (use 10)</v>
      </c>
      <c r="L8" s="2" t="str">
        <f t="shared" si="4"/>
        <v>&lt;1 (use 1)</v>
      </c>
      <c r="M8" s="2"/>
      <c r="O8" s="166" t="s">
        <v>746</v>
      </c>
      <c r="P8" s="166" t="s">
        <v>750</v>
      </c>
      <c r="Q8" s="166" t="s">
        <v>751</v>
      </c>
      <c r="R8" s="166" t="s">
        <v>767</v>
      </c>
    </row>
    <row r="9" spans="1:18" s="166" customFormat="1" x14ac:dyDescent="0.3">
      <c r="A9" s="166" t="s">
        <v>745</v>
      </c>
      <c r="D9" s="166" t="s">
        <v>753</v>
      </c>
      <c r="E9" s="166" t="s">
        <v>754</v>
      </c>
      <c r="F9" s="166" t="s">
        <v>752</v>
      </c>
      <c r="G9" s="166" t="s">
        <v>765</v>
      </c>
      <c r="I9" s="2" t="str">
        <f t="shared" ref="I9:I12" si="5">D9</f>
        <v>153-198' (api 581) or 153-310' CFER</v>
      </c>
      <c r="J9" s="2" t="str">
        <f t="shared" si="4"/>
        <v>73-89' (api 581) or 153-310' CFER</v>
      </c>
      <c r="K9" s="2" t="str">
        <f t="shared" si="4"/>
        <v>32-36' (api 581) or 153-310' CFER</v>
      </c>
      <c r="L9" s="2" t="str">
        <f t="shared" si="4"/>
        <v>&lt;10'</v>
      </c>
      <c r="M9" s="2"/>
      <c r="O9" s="166" t="s">
        <v>753</v>
      </c>
      <c r="P9" s="166" t="s">
        <v>754</v>
      </c>
      <c r="Q9" s="166" t="s">
        <v>752</v>
      </c>
      <c r="R9" s="166" t="s">
        <v>765</v>
      </c>
    </row>
    <row r="10" spans="1:18" s="166" customFormat="1" x14ac:dyDescent="0.3">
      <c r="A10" s="166" t="s">
        <v>756</v>
      </c>
      <c r="D10" s="166" t="s">
        <v>759</v>
      </c>
      <c r="E10" s="166" t="s">
        <v>757</v>
      </c>
      <c r="F10" s="166" t="s">
        <v>758</v>
      </c>
      <c r="G10" s="166" t="s">
        <v>766</v>
      </c>
      <c r="I10" s="2" t="str">
        <f t="shared" si="5"/>
        <v>2.5 (2.5*198=485)</v>
      </c>
      <c r="J10" s="2" t="str">
        <f t="shared" si="4"/>
        <v>2.2 (2.2*89=196)</v>
      </c>
      <c r="K10" s="2" t="str">
        <f t="shared" si="4"/>
        <v>2 (2*36 = 72)</v>
      </c>
      <c r="L10" s="2" t="str">
        <f t="shared" si="4"/>
        <v>2 (2*10=20)</v>
      </c>
      <c r="M10" s="2"/>
      <c r="O10" s="166" t="s">
        <v>759</v>
      </c>
      <c r="P10" s="166" t="s">
        <v>757</v>
      </c>
      <c r="Q10" s="166" t="s">
        <v>758</v>
      </c>
      <c r="R10" s="166" t="s">
        <v>766</v>
      </c>
    </row>
    <row r="11" spans="1:18" s="166" customFormat="1" x14ac:dyDescent="0.3">
      <c r="A11" s="166" t="s">
        <v>755</v>
      </c>
      <c r="D11" s="166">
        <v>660</v>
      </c>
      <c r="E11" s="166">
        <v>330</v>
      </c>
      <c r="F11" s="166">
        <v>165</v>
      </c>
      <c r="G11" s="166">
        <v>165</v>
      </c>
      <c r="I11" s="166">
        <f t="shared" si="5"/>
        <v>660</v>
      </c>
      <c r="J11" s="166">
        <f t="shared" si="4"/>
        <v>330</v>
      </c>
      <c r="K11" s="166">
        <f t="shared" si="4"/>
        <v>165</v>
      </c>
      <c r="L11" s="166">
        <f t="shared" si="4"/>
        <v>165</v>
      </c>
      <c r="M11" s="217"/>
      <c r="O11" s="166">
        <v>660</v>
      </c>
      <c r="P11" s="166">
        <v>330</v>
      </c>
      <c r="Q11" s="166">
        <v>165</v>
      </c>
      <c r="R11" s="166">
        <v>165</v>
      </c>
    </row>
    <row r="12" spans="1:18" x14ac:dyDescent="0.3">
      <c r="A12" t="s">
        <v>760</v>
      </c>
      <c r="D12">
        <v>1100</v>
      </c>
      <c r="E12">
        <v>99</v>
      </c>
      <c r="F12">
        <v>9</v>
      </c>
      <c r="G12">
        <v>1</v>
      </c>
      <c r="I12" s="166">
        <f t="shared" si="5"/>
        <v>1100</v>
      </c>
      <c r="J12" s="166">
        <f t="shared" si="4"/>
        <v>99</v>
      </c>
      <c r="K12" s="166">
        <f t="shared" si="4"/>
        <v>9</v>
      </c>
      <c r="L12" s="166">
        <f t="shared" si="4"/>
        <v>1</v>
      </c>
      <c r="O12" s="166">
        <v>1100</v>
      </c>
      <c r="P12" s="166">
        <v>99</v>
      </c>
      <c r="Q12" s="166">
        <v>9</v>
      </c>
      <c r="R12" s="166">
        <v>1</v>
      </c>
    </row>
    <row r="13" spans="1:18" x14ac:dyDescent="0.3">
      <c r="A13" s="166" t="s">
        <v>761</v>
      </c>
      <c r="D13">
        <v>54</v>
      </c>
      <c r="E13">
        <v>1</v>
      </c>
      <c r="F13">
        <v>0.03</v>
      </c>
      <c r="G13">
        <v>2E-3</v>
      </c>
      <c r="I13">
        <f>5+D13</f>
        <v>59</v>
      </c>
      <c r="J13" s="166">
        <f t="shared" ref="J13:L13" si="6">5+E13</f>
        <v>6</v>
      </c>
      <c r="K13" s="166">
        <f t="shared" si="6"/>
        <v>5.03</v>
      </c>
      <c r="L13" s="166">
        <f t="shared" si="6"/>
        <v>5.0019999999999998</v>
      </c>
      <c r="N13" t="s">
        <v>778</v>
      </c>
      <c r="O13" s="166">
        <v>54</v>
      </c>
      <c r="P13" s="166">
        <v>1</v>
      </c>
      <c r="Q13" s="166">
        <v>0.03</v>
      </c>
      <c r="R13" s="166">
        <v>2E-3</v>
      </c>
    </row>
    <row r="14" spans="1:18" s="166" customFormat="1" x14ac:dyDescent="0.3">
      <c r="A14" s="206"/>
      <c r="B14" s="204"/>
      <c r="C14" s="204" t="s">
        <v>763</v>
      </c>
      <c r="D14" s="183">
        <f>6.465*D13*1000000</f>
        <v>349110000</v>
      </c>
      <c r="E14" s="183">
        <f t="shared" ref="E14:G14" si="7">6.465*E13*1000000</f>
        <v>6465000</v>
      </c>
      <c r="F14" s="183">
        <f t="shared" si="7"/>
        <v>193949.99999999997</v>
      </c>
      <c r="G14" s="183">
        <f t="shared" si="7"/>
        <v>12930</v>
      </c>
      <c r="H14" s="101"/>
      <c r="I14" s="101">
        <f t="shared" ref="I14" si="8">6.465*I13*1000000</f>
        <v>381435000</v>
      </c>
      <c r="J14" s="101">
        <f t="shared" ref="J14" si="9">6.465*J13*1000000</f>
        <v>38790000</v>
      </c>
      <c r="K14" s="101">
        <f t="shared" ref="K14" si="10">6.465*K13*1000000</f>
        <v>32518950.000000004</v>
      </c>
      <c r="L14" s="101">
        <f t="shared" ref="L14" si="11">6.465*L13*1000000</f>
        <v>32337930</v>
      </c>
      <c r="M14" s="101"/>
      <c r="O14" s="101">
        <f>D14</f>
        <v>349110000</v>
      </c>
      <c r="P14" s="101">
        <f>E14</f>
        <v>6465000</v>
      </c>
      <c r="Q14" s="101">
        <f>F14</f>
        <v>193949.99999999997</v>
      </c>
      <c r="R14" s="101">
        <f>G14</f>
        <v>12930</v>
      </c>
    </row>
    <row r="15" spans="1:18" x14ac:dyDescent="0.3">
      <c r="A15" s="166"/>
      <c r="O15" s="172" t="s">
        <v>780</v>
      </c>
      <c r="P15" s="173"/>
      <c r="Q15" s="173"/>
      <c r="R15" s="173"/>
    </row>
    <row r="16" spans="1:18" s="166" customFormat="1" x14ac:dyDescent="0.3">
      <c r="A16" s="166" t="s">
        <v>744</v>
      </c>
      <c r="D16" s="166" t="s">
        <v>747</v>
      </c>
      <c r="E16" s="166" t="s">
        <v>749</v>
      </c>
      <c r="F16" s="166" t="s">
        <v>748</v>
      </c>
      <c r="G16" s="166">
        <v>9</v>
      </c>
      <c r="I16" s="2" t="s">
        <v>812</v>
      </c>
      <c r="J16" s="2" t="s">
        <v>811</v>
      </c>
      <c r="K16" s="2" t="s">
        <v>811</v>
      </c>
      <c r="L16" s="2" t="s">
        <v>811</v>
      </c>
      <c r="M16" s="2"/>
      <c r="O16" s="166" t="s">
        <v>747</v>
      </c>
      <c r="P16" s="166" t="s">
        <v>749</v>
      </c>
      <c r="Q16" s="166" t="s">
        <v>748</v>
      </c>
      <c r="R16" s="166">
        <v>9</v>
      </c>
    </row>
    <row r="17" spans="1:18" x14ac:dyDescent="0.3">
      <c r="A17" t="s">
        <v>82</v>
      </c>
      <c r="D17">
        <v>5</v>
      </c>
      <c r="E17">
        <v>4</v>
      </c>
      <c r="F17">
        <v>3</v>
      </c>
      <c r="G17">
        <v>2</v>
      </c>
      <c r="I17" s="2" t="s">
        <v>811</v>
      </c>
      <c r="J17" s="2" t="s">
        <v>811</v>
      </c>
      <c r="K17" s="2" t="s">
        <v>811</v>
      </c>
      <c r="L17" s="2" t="s">
        <v>811</v>
      </c>
      <c r="M17" s="2"/>
      <c r="O17" s="166">
        <v>5</v>
      </c>
      <c r="P17" s="166">
        <v>4</v>
      </c>
      <c r="Q17" s="166">
        <v>3</v>
      </c>
      <c r="R17" s="166">
        <v>2</v>
      </c>
    </row>
    <row r="18" spans="1:18" x14ac:dyDescent="0.3">
      <c r="A18" s="166" t="s">
        <v>742</v>
      </c>
      <c r="D18">
        <v>1100</v>
      </c>
      <c r="E18">
        <v>99</v>
      </c>
      <c r="F18">
        <v>9</v>
      </c>
      <c r="G18">
        <v>0.9</v>
      </c>
      <c r="I18" s="2" t="s">
        <v>811</v>
      </c>
      <c r="J18" s="2" t="s">
        <v>811</v>
      </c>
      <c r="K18" s="2" t="s">
        <v>811</v>
      </c>
      <c r="L18" s="2" t="s">
        <v>811</v>
      </c>
      <c r="M18" s="2"/>
      <c r="O18" s="166">
        <v>1100</v>
      </c>
      <c r="P18" s="166">
        <v>99</v>
      </c>
      <c r="Q18" s="166">
        <v>9</v>
      </c>
      <c r="R18" s="166">
        <v>0.9</v>
      </c>
    </row>
    <row r="19" spans="1:18" x14ac:dyDescent="0.3">
      <c r="A19" t="s">
        <v>92</v>
      </c>
      <c r="D19">
        <v>5449</v>
      </c>
      <c r="E19">
        <v>54.5</v>
      </c>
      <c r="F19">
        <v>5.4</v>
      </c>
      <c r="G19">
        <v>0.5</v>
      </c>
      <c r="I19" s="2" t="s">
        <v>811</v>
      </c>
      <c r="J19" s="2" t="s">
        <v>811</v>
      </c>
      <c r="K19" s="2" t="s">
        <v>811</v>
      </c>
      <c r="L19" s="2" t="s">
        <v>811</v>
      </c>
      <c r="M19" s="2"/>
      <c r="O19" s="166">
        <v>5449</v>
      </c>
      <c r="P19" s="166">
        <v>54.5</v>
      </c>
      <c r="Q19" s="166">
        <v>5.4</v>
      </c>
      <c r="R19" s="166">
        <v>0.5</v>
      </c>
    </row>
    <row r="20" spans="1:18" s="166" customFormat="1" x14ac:dyDescent="0.3">
      <c r="A20" s="206" t="s">
        <v>907</v>
      </c>
      <c r="B20" s="204"/>
      <c r="C20" s="204" t="s">
        <v>764</v>
      </c>
      <c r="D20" s="183">
        <v>1237680023.0312002</v>
      </c>
      <c r="E20" s="183">
        <v>9903257.2956800014</v>
      </c>
      <c r="F20" s="183">
        <v>735930.12931200024</v>
      </c>
      <c r="G20" s="183">
        <v>45427.785759999999</v>
      </c>
      <c r="I20" s="2" t="s">
        <v>811</v>
      </c>
      <c r="J20" s="2" t="s">
        <v>811</v>
      </c>
      <c r="K20" s="2" t="s">
        <v>811</v>
      </c>
      <c r="L20" s="2" t="s">
        <v>811</v>
      </c>
      <c r="M20" s="2"/>
      <c r="O20" s="101">
        <f>D20</f>
        <v>1237680023.0312002</v>
      </c>
      <c r="P20" s="101">
        <f>E20</f>
        <v>9903257.2956800014</v>
      </c>
      <c r="Q20" s="101">
        <f>F20</f>
        <v>735930.12931200024</v>
      </c>
      <c r="R20" s="101">
        <f>G20</f>
        <v>45427.785759999999</v>
      </c>
    </row>
    <row r="21" spans="1:18" x14ac:dyDescent="0.3">
      <c r="I21" t="s">
        <v>813</v>
      </c>
      <c r="O21" s="172" t="s">
        <v>780</v>
      </c>
      <c r="P21" s="173"/>
      <c r="Q21" s="173"/>
      <c r="R21" s="173"/>
    </row>
    <row r="22" spans="1:18" x14ac:dyDescent="0.3">
      <c r="A22" t="s">
        <v>500</v>
      </c>
      <c r="O22" s="166"/>
      <c r="P22" s="166"/>
      <c r="Q22" s="166"/>
      <c r="R22" s="166"/>
    </row>
    <row r="23" spans="1:18" x14ac:dyDescent="0.3">
      <c r="A23" s="166" t="s">
        <v>546</v>
      </c>
      <c r="D23" s="101">
        <v>5000000</v>
      </c>
      <c r="E23" s="101">
        <v>200000</v>
      </c>
      <c r="F23" s="101">
        <v>5000</v>
      </c>
      <c r="G23" s="101">
        <v>200</v>
      </c>
      <c r="I23" s="101">
        <f>0.13*D23</f>
        <v>650000</v>
      </c>
      <c r="J23" s="101">
        <f t="shared" ref="J23:L27" si="12">0.13*E23</f>
        <v>26000</v>
      </c>
      <c r="K23" s="101">
        <f t="shared" si="12"/>
        <v>650</v>
      </c>
      <c r="L23" s="101">
        <f t="shared" si="12"/>
        <v>26</v>
      </c>
      <c r="M23" s="101"/>
      <c r="O23" s="101">
        <f>D23</f>
        <v>5000000</v>
      </c>
      <c r="P23" s="101">
        <f>E23</f>
        <v>200000</v>
      </c>
      <c r="Q23" s="101">
        <f>F23</f>
        <v>5000</v>
      </c>
      <c r="R23" s="101">
        <f>G23</f>
        <v>200</v>
      </c>
    </row>
    <row r="24" spans="1:18" x14ac:dyDescent="0.3">
      <c r="A24" s="166" t="s">
        <v>555</v>
      </c>
      <c r="D24" s="101">
        <v>2000000</v>
      </c>
      <c r="E24" s="101">
        <v>100000</v>
      </c>
      <c r="F24" s="101">
        <v>2000</v>
      </c>
      <c r="G24" s="101">
        <v>500</v>
      </c>
      <c r="I24" s="101">
        <f t="shared" ref="I24:I27" si="13">0.13*D24</f>
        <v>260000</v>
      </c>
      <c r="J24" s="101">
        <f t="shared" si="12"/>
        <v>13000</v>
      </c>
      <c r="K24" s="101">
        <f t="shared" si="12"/>
        <v>260</v>
      </c>
      <c r="L24" s="101">
        <f t="shared" si="12"/>
        <v>65</v>
      </c>
      <c r="M24" s="101"/>
      <c r="O24" s="101">
        <f t="shared" ref="O24:O27" si="14">D24</f>
        <v>2000000</v>
      </c>
      <c r="P24" s="101">
        <f t="shared" ref="P24:R27" si="15">E24</f>
        <v>100000</v>
      </c>
      <c r="Q24" s="101">
        <f t="shared" si="15"/>
        <v>2000</v>
      </c>
      <c r="R24" s="101">
        <f t="shared" si="15"/>
        <v>500</v>
      </c>
    </row>
    <row r="25" spans="1:18" x14ac:dyDescent="0.3">
      <c r="A25" s="166" t="s">
        <v>547</v>
      </c>
      <c r="D25" s="101">
        <v>20000000</v>
      </c>
      <c r="E25" s="101">
        <v>1000000</v>
      </c>
      <c r="F25" s="101">
        <v>50000</v>
      </c>
      <c r="G25" s="101">
        <v>5000</v>
      </c>
      <c r="I25" s="101">
        <f t="shared" si="13"/>
        <v>2600000</v>
      </c>
      <c r="J25" s="101">
        <f t="shared" si="12"/>
        <v>130000</v>
      </c>
      <c r="K25" s="101">
        <f t="shared" si="12"/>
        <v>6500</v>
      </c>
      <c r="L25" s="101">
        <f t="shared" si="12"/>
        <v>650</v>
      </c>
      <c r="M25" s="101"/>
      <c r="O25" s="101">
        <f t="shared" si="14"/>
        <v>20000000</v>
      </c>
      <c r="P25" s="101">
        <f t="shared" si="15"/>
        <v>1000000</v>
      </c>
      <c r="Q25" s="101">
        <f t="shared" si="15"/>
        <v>50000</v>
      </c>
      <c r="R25" s="101">
        <f t="shared" si="15"/>
        <v>5000</v>
      </c>
    </row>
    <row r="26" spans="1:18" x14ac:dyDescent="0.3">
      <c r="A26" s="204" t="s">
        <v>548</v>
      </c>
      <c r="B26" s="206" t="s">
        <v>900</v>
      </c>
      <c r="C26" s="205"/>
      <c r="D26" s="183">
        <f>19.3*47*3000</f>
        <v>2721300</v>
      </c>
      <c r="E26" s="183">
        <f>19.3*600*47</f>
        <v>544260</v>
      </c>
      <c r="F26" s="183">
        <f>19.3*90*47</f>
        <v>81639</v>
      </c>
      <c r="G26" s="183">
        <f>19.3*9*47</f>
        <v>8163.9000000000005</v>
      </c>
      <c r="I26" s="101">
        <f>0.13*D26</f>
        <v>353769</v>
      </c>
      <c r="J26" s="101">
        <f t="shared" si="12"/>
        <v>70753.8</v>
      </c>
      <c r="K26" s="101">
        <f t="shared" si="12"/>
        <v>10613.07</v>
      </c>
      <c r="L26" s="101">
        <f t="shared" si="12"/>
        <v>1061.307</v>
      </c>
      <c r="M26" s="101"/>
      <c r="O26" s="101">
        <f t="shared" si="14"/>
        <v>2721300</v>
      </c>
      <c r="P26" s="101">
        <f t="shared" si="15"/>
        <v>544260</v>
      </c>
      <c r="Q26" s="101">
        <f t="shared" si="15"/>
        <v>81639</v>
      </c>
      <c r="R26" s="101">
        <f t="shared" si="15"/>
        <v>8163.9000000000005</v>
      </c>
    </row>
    <row r="27" spans="1:18" x14ac:dyDescent="0.3">
      <c r="A27" s="166" t="s">
        <v>550</v>
      </c>
      <c r="D27" s="101">
        <v>10000000</v>
      </c>
      <c r="E27" s="101">
        <v>100000</v>
      </c>
      <c r="F27" s="101">
        <v>10000</v>
      </c>
      <c r="G27" s="101">
        <v>1000</v>
      </c>
      <c r="I27" s="101">
        <f t="shared" si="13"/>
        <v>1300000</v>
      </c>
      <c r="J27" s="101">
        <f t="shared" si="12"/>
        <v>13000</v>
      </c>
      <c r="K27" s="101">
        <f t="shared" si="12"/>
        <v>1300</v>
      </c>
      <c r="L27" s="101">
        <f t="shared" si="12"/>
        <v>130</v>
      </c>
      <c r="M27" s="101"/>
      <c r="O27" s="101">
        <f t="shared" si="14"/>
        <v>10000000</v>
      </c>
      <c r="P27" s="101">
        <f t="shared" si="15"/>
        <v>100000</v>
      </c>
      <c r="Q27" s="101">
        <f t="shared" si="15"/>
        <v>10000</v>
      </c>
      <c r="R27" s="101">
        <f t="shared" si="15"/>
        <v>1000</v>
      </c>
    </row>
    <row r="28" spans="1:18" x14ac:dyDescent="0.3">
      <c r="C28" s="101"/>
      <c r="G28" s="101"/>
      <c r="O28" s="172" t="s">
        <v>780</v>
      </c>
      <c r="P28" s="173"/>
      <c r="Q28" s="173"/>
      <c r="R28" s="173"/>
    </row>
    <row r="29" spans="1:18" x14ac:dyDescent="0.3">
      <c r="A29" t="s">
        <v>762</v>
      </c>
      <c r="G29" s="101"/>
      <c r="O29" s="166"/>
      <c r="P29" s="166"/>
      <c r="Q29" s="166"/>
      <c r="R29" s="101"/>
    </row>
    <row r="30" spans="1:18" x14ac:dyDescent="0.3">
      <c r="A30" t="str">
        <f>'Svc-Reliability-Finan COFcalc'!A7</f>
        <v>emergency response and incident management cost</v>
      </c>
      <c r="D30" s="101">
        <v>5000000</v>
      </c>
      <c r="E30" s="101">
        <v>500000</v>
      </c>
      <c r="F30" s="101">
        <v>100000</v>
      </c>
      <c r="G30" s="101">
        <v>10000</v>
      </c>
      <c r="I30" s="101">
        <f>0.13*D30</f>
        <v>650000</v>
      </c>
      <c r="J30" s="101">
        <f t="shared" ref="J30:L45" si="16">0.13*E30</f>
        <v>65000</v>
      </c>
      <c r="K30" s="101">
        <f t="shared" si="16"/>
        <v>13000</v>
      </c>
      <c r="L30" s="101">
        <f t="shared" si="16"/>
        <v>1300</v>
      </c>
      <c r="M30" s="101"/>
      <c r="O30" s="101">
        <f>D30</f>
        <v>5000000</v>
      </c>
      <c r="P30" s="101">
        <f>E30</f>
        <v>500000</v>
      </c>
      <c r="Q30" s="101">
        <f>F30</f>
        <v>100000</v>
      </c>
      <c r="R30" s="101">
        <f>G30</f>
        <v>10000</v>
      </c>
    </row>
    <row r="31" spans="1:18" x14ac:dyDescent="0.3">
      <c r="A31" t="str">
        <f>'Svc-Reliability-Finan COFcalc'!A8</f>
        <v>product lost during leak</v>
      </c>
      <c r="D31" s="101">
        <f>3000000*2.4</f>
        <v>7200000</v>
      </c>
      <c r="E31" s="101">
        <f>600000*2.4</f>
        <v>1440000</v>
      </c>
      <c r="F31" s="101">
        <f>90000*2.4</f>
        <v>216000</v>
      </c>
      <c r="G31" s="101">
        <f>9000*2.4</f>
        <v>21600</v>
      </c>
      <c r="I31" s="101">
        <f t="shared" ref="I31:I45" si="17">0.13*D31</f>
        <v>936000</v>
      </c>
      <c r="J31" s="101">
        <f t="shared" si="16"/>
        <v>187200</v>
      </c>
      <c r="K31" s="101">
        <f t="shared" si="16"/>
        <v>28080</v>
      </c>
      <c r="L31" s="101">
        <f t="shared" si="16"/>
        <v>2808</v>
      </c>
      <c r="M31" s="101"/>
      <c r="O31" s="101">
        <f t="shared" ref="O31:O45" si="18">D31</f>
        <v>7200000</v>
      </c>
      <c r="P31" s="101">
        <f t="shared" ref="P31:P45" si="19">E31</f>
        <v>1440000</v>
      </c>
      <c r="Q31" s="101">
        <f t="shared" ref="Q31:Q45" si="20">F31</f>
        <v>216000</v>
      </c>
      <c r="R31" s="101">
        <f t="shared" ref="R31:R45" si="21">G31</f>
        <v>21600</v>
      </c>
    </row>
    <row r="32" spans="1:18" x14ac:dyDescent="0.3">
      <c r="A32" t="str">
        <f>'Svc-Reliability-Finan COFcalc'!A9</f>
        <v>degradation of product/service quality</v>
      </c>
      <c r="D32" s="101">
        <v>10000000</v>
      </c>
      <c r="E32" s="101">
        <v>1000000</v>
      </c>
      <c r="F32" s="101">
        <v>100000</v>
      </c>
      <c r="G32" s="101">
        <v>10000</v>
      </c>
      <c r="I32" s="101">
        <f t="shared" si="17"/>
        <v>1300000</v>
      </c>
      <c r="J32" s="101">
        <f t="shared" si="16"/>
        <v>130000</v>
      </c>
      <c r="K32" s="101">
        <f t="shared" si="16"/>
        <v>13000</v>
      </c>
      <c r="L32" s="101">
        <f t="shared" si="16"/>
        <v>1300</v>
      </c>
      <c r="M32" s="101"/>
      <c r="O32" s="101">
        <f t="shared" si="18"/>
        <v>10000000</v>
      </c>
      <c r="P32" s="101">
        <f t="shared" si="19"/>
        <v>1000000</v>
      </c>
      <c r="Q32" s="101">
        <f t="shared" si="20"/>
        <v>100000</v>
      </c>
      <c r="R32" s="101">
        <f t="shared" si="21"/>
        <v>10000</v>
      </c>
    </row>
    <row r="33" spans="1:52" x14ac:dyDescent="0.3">
      <c r="A33" t="str">
        <f>'Svc-Reliability-Finan COFcalc'!A10</f>
        <v>business interruption/service interruption cost, loss of market share/loss of customers</v>
      </c>
      <c r="D33" s="101">
        <v>10000000</v>
      </c>
      <c r="E33" s="101">
        <v>1000000</v>
      </c>
      <c r="F33" s="101">
        <v>100000</v>
      </c>
      <c r="G33" s="101">
        <v>10000</v>
      </c>
      <c r="I33" s="101">
        <f t="shared" si="17"/>
        <v>1300000</v>
      </c>
      <c r="J33" s="101">
        <f t="shared" si="16"/>
        <v>130000</v>
      </c>
      <c r="K33" s="101">
        <f t="shared" si="16"/>
        <v>13000</v>
      </c>
      <c r="L33" s="101">
        <f t="shared" si="16"/>
        <v>1300</v>
      </c>
      <c r="M33" s="101"/>
      <c r="O33" s="101">
        <f t="shared" si="18"/>
        <v>10000000</v>
      </c>
      <c r="P33" s="101">
        <f t="shared" si="19"/>
        <v>1000000</v>
      </c>
      <c r="Q33" s="101">
        <f t="shared" si="20"/>
        <v>100000</v>
      </c>
      <c r="R33" s="101">
        <f t="shared" si="21"/>
        <v>10000</v>
      </c>
    </row>
    <row r="34" spans="1:52" x14ac:dyDescent="0.3">
      <c r="A34" t="str">
        <f>'Svc-Reliability-Finan COFcalc'!A11</f>
        <v>ability to compensate for flow/service loss</v>
      </c>
      <c r="D34" s="101">
        <v>10000000</v>
      </c>
      <c r="E34" s="101">
        <v>1000000</v>
      </c>
      <c r="F34" s="101">
        <v>100000</v>
      </c>
      <c r="G34" s="101">
        <v>10000</v>
      </c>
      <c r="I34" s="101">
        <f t="shared" si="17"/>
        <v>1300000</v>
      </c>
      <c r="J34" s="101">
        <f t="shared" si="16"/>
        <v>130000</v>
      </c>
      <c r="K34" s="101">
        <f t="shared" si="16"/>
        <v>13000</v>
      </c>
      <c r="L34" s="101">
        <f t="shared" si="16"/>
        <v>1300</v>
      </c>
      <c r="M34" s="101"/>
      <c r="O34" s="101">
        <f t="shared" si="18"/>
        <v>10000000</v>
      </c>
      <c r="P34" s="101">
        <f t="shared" si="19"/>
        <v>1000000</v>
      </c>
      <c r="Q34" s="101">
        <f t="shared" si="20"/>
        <v>100000</v>
      </c>
      <c r="R34" s="101">
        <f t="shared" si="21"/>
        <v>10000</v>
      </c>
    </row>
    <row r="35" spans="1:52" x14ac:dyDescent="0.3">
      <c r="A35" t="str">
        <f>'Svc-Reliability-Finan COFcalc'!A12</f>
        <v>deployment costs for emergency response personnel</v>
      </c>
      <c r="D35" s="101">
        <v>5000000</v>
      </c>
      <c r="E35" s="101">
        <v>500000</v>
      </c>
      <c r="F35" s="101">
        <v>100000</v>
      </c>
      <c r="G35" s="101">
        <v>10000</v>
      </c>
      <c r="I35" s="101">
        <f t="shared" si="17"/>
        <v>650000</v>
      </c>
      <c r="J35" s="101">
        <f t="shared" si="16"/>
        <v>65000</v>
      </c>
      <c r="K35" s="101">
        <f t="shared" si="16"/>
        <v>13000</v>
      </c>
      <c r="L35" s="101">
        <f t="shared" si="16"/>
        <v>1300</v>
      </c>
      <c r="M35" s="101"/>
      <c r="O35" s="101">
        <f t="shared" si="18"/>
        <v>5000000</v>
      </c>
      <c r="P35" s="101">
        <f t="shared" si="19"/>
        <v>500000</v>
      </c>
      <c r="Q35" s="101">
        <f t="shared" si="20"/>
        <v>100000</v>
      </c>
      <c r="R35" s="101">
        <f t="shared" si="21"/>
        <v>10000</v>
      </c>
    </row>
    <row r="36" spans="1:52" x14ac:dyDescent="0.3">
      <c r="A36" t="str">
        <f>'Svc-Reliability-Finan COFcalc'!A13</f>
        <v xml:space="preserve">equipment repair and restoration </v>
      </c>
      <c r="D36" s="101">
        <v>20000000</v>
      </c>
      <c r="E36" s="101">
        <v>5000000</v>
      </c>
      <c r="F36" s="101">
        <v>2000000</v>
      </c>
      <c r="G36" s="101">
        <v>300000</v>
      </c>
      <c r="I36" s="101">
        <f t="shared" si="17"/>
        <v>2600000</v>
      </c>
      <c r="J36" s="101">
        <f t="shared" si="16"/>
        <v>650000</v>
      </c>
      <c r="K36" s="101">
        <f t="shared" si="16"/>
        <v>260000</v>
      </c>
      <c r="L36" s="101">
        <f t="shared" si="16"/>
        <v>39000</v>
      </c>
      <c r="M36" s="101"/>
      <c r="O36" s="101">
        <f t="shared" si="18"/>
        <v>20000000</v>
      </c>
      <c r="P36" s="101">
        <f t="shared" si="19"/>
        <v>5000000</v>
      </c>
      <c r="Q36" s="101">
        <f t="shared" si="20"/>
        <v>2000000</v>
      </c>
      <c r="R36" s="101">
        <f t="shared" si="21"/>
        <v>300000</v>
      </c>
    </row>
    <row r="37" spans="1:52" x14ac:dyDescent="0.3">
      <c r="A37" t="str">
        <f>'Svc-Reliability-Finan COFcalc'!A14</f>
        <v xml:space="preserve"> on-site and off-site property damage [incl. damage to adjacent eqpt and further business/service impacts] </v>
      </c>
      <c r="D37" s="101">
        <v>10000000</v>
      </c>
      <c r="E37" s="101">
        <v>1000000</v>
      </c>
      <c r="F37" s="101">
        <v>100000</v>
      </c>
      <c r="G37" s="101">
        <v>10000</v>
      </c>
      <c r="I37" s="101">
        <f t="shared" si="17"/>
        <v>1300000</v>
      </c>
      <c r="J37" s="101">
        <f t="shared" si="16"/>
        <v>130000</v>
      </c>
      <c r="K37" s="101">
        <f t="shared" si="16"/>
        <v>13000</v>
      </c>
      <c r="L37" s="101">
        <f t="shared" si="16"/>
        <v>1300</v>
      </c>
      <c r="M37" s="101"/>
      <c r="O37" s="101">
        <f t="shared" si="18"/>
        <v>10000000</v>
      </c>
      <c r="P37" s="101">
        <f t="shared" si="19"/>
        <v>1000000</v>
      </c>
      <c r="Q37" s="101">
        <f t="shared" si="20"/>
        <v>100000</v>
      </c>
      <c r="R37" s="101">
        <f t="shared" si="21"/>
        <v>10000</v>
      </c>
    </row>
    <row r="38" spans="1:52" x14ac:dyDescent="0.3">
      <c r="A38" t="str">
        <f>'Svc-Reliability-Finan COFcalc'!A15</f>
        <v>relocation/reimbursement</v>
      </c>
      <c r="D38" s="101">
        <v>10000000</v>
      </c>
      <c r="E38" s="101">
        <v>1000000</v>
      </c>
      <c r="F38" s="101">
        <v>10000</v>
      </c>
      <c r="G38" s="101">
        <v>5000</v>
      </c>
      <c r="I38" s="101">
        <f t="shared" si="17"/>
        <v>1300000</v>
      </c>
      <c r="J38" s="101">
        <f t="shared" si="16"/>
        <v>130000</v>
      </c>
      <c r="K38" s="101">
        <f t="shared" si="16"/>
        <v>1300</v>
      </c>
      <c r="L38" s="101">
        <f t="shared" si="16"/>
        <v>650</v>
      </c>
      <c r="M38" s="101"/>
      <c r="O38" s="101">
        <f t="shared" si="18"/>
        <v>10000000</v>
      </c>
      <c r="P38" s="101">
        <f t="shared" si="19"/>
        <v>1000000</v>
      </c>
      <c r="Q38" s="101">
        <f t="shared" si="20"/>
        <v>10000</v>
      </c>
      <c r="R38" s="101">
        <f t="shared" si="21"/>
        <v>5000</v>
      </c>
    </row>
    <row r="39" spans="1:52" x14ac:dyDescent="0.3">
      <c r="A39" t="str">
        <f>'Svc-Reliability-Finan COFcalc'!A16</f>
        <v>cost of cascading business risk [interruption of flow/feed to the next point curtails that activity as well]</v>
      </c>
      <c r="D39" s="101">
        <v>10000000</v>
      </c>
      <c r="E39" s="101">
        <v>1000000</v>
      </c>
      <c r="F39" s="101">
        <v>10000</v>
      </c>
      <c r="G39" s="101">
        <v>5000</v>
      </c>
      <c r="I39" s="101">
        <f t="shared" si="17"/>
        <v>1300000</v>
      </c>
      <c r="J39" s="101">
        <f t="shared" si="16"/>
        <v>130000</v>
      </c>
      <c r="K39" s="101">
        <f t="shared" si="16"/>
        <v>1300</v>
      </c>
      <c r="L39" s="101">
        <f t="shared" si="16"/>
        <v>650</v>
      </c>
      <c r="M39" s="101"/>
      <c r="O39" s="101">
        <f t="shared" si="18"/>
        <v>10000000</v>
      </c>
      <c r="P39" s="101">
        <f t="shared" si="19"/>
        <v>1000000</v>
      </c>
      <c r="Q39" s="101">
        <f t="shared" si="20"/>
        <v>10000</v>
      </c>
      <c r="R39" s="101">
        <f t="shared" si="21"/>
        <v>5000</v>
      </c>
    </row>
    <row r="40" spans="1:52" x14ac:dyDescent="0.3">
      <c r="A40" t="str">
        <f>'Svc-Reliability-Finan COFcalc'!A17</f>
        <v xml:space="preserve">loss of goodwill/public reputation </v>
      </c>
      <c r="D40" s="101">
        <v>10000000</v>
      </c>
      <c r="E40" s="101">
        <v>1000000</v>
      </c>
      <c r="F40" s="101">
        <v>10000</v>
      </c>
      <c r="G40" s="101">
        <v>5000</v>
      </c>
      <c r="I40" s="101">
        <f t="shared" si="17"/>
        <v>1300000</v>
      </c>
      <c r="J40" s="101">
        <f t="shared" si="16"/>
        <v>130000</v>
      </c>
      <c r="K40" s="101">
        <f t="shared" si="16"/>
        <v>1300</v>
      </c>
      <c r="L40" s="101">
        <f t="shared" si="16"/>
        <v>650</v>
      </c>
      <c r="M40" s="101"/>
      <c r="O40" s="101">
        <f t="shared" si="18"/>
        <v>10000000</v>
      </c>
      <c r="P40" s="101">
        <f t="shared" si="19"/>
        <v>1000000</v>
      </c>
      <c r="Q40" s="101">
        <f t="shared" si="20"/>
        <v>10000</v>
      </c>
      <c r="R40" s="101">
        <f t="shared" si="21"/>
        <v>5000</v>
      </c>
    </row>
    <row r="41" spans="1:52" x14ac:dyDescent="0.3">
      <c r="A41" t="str">
        <f>'Svc-Reliability-Finan COFcalc'!A18</f>
        <v>increased cost of insurance</v>
      </c>
      <c r="D41" s="101">
        <v>10000000</v>
      </c>
      <c r="E41" s="101">
        <v>1000000</v>
      </c>
      <c r="F41" s="101">
        <v>10000</v>
      </c>
      <c r="G41" s="101">
        <v>5000</v>
      </c>
      <c r="I41" s="101">
        <f t="shared" si="17"/>
        <v>1300000</v>
      </c>
      <c r="J41" s="101">
        <f t="shared" si="16"/>
        <v>130000</v>
      </c>
      <c r="K41" s="101">
        <f t="shared" si="16"/>
        <v>1300</v>
      </c>
      <c r="L41" s="101">
        <f t="shared" si="16"/>
        <v>650</v>
      </c>
      <c r="M41" s="101"/>
      <c r="O41" s="101">
        <f t="shared" si="18"/>
        <v>10000000</v>
      </c>
      <c r="P41" s="101">
        <f t="shared" si="19"/>
        <v>1000000</v>
      </c>
      <c r="Q41" s="101">
        <f t="shared" si="20"/>
        <v>10000</v>
      </c>
      <c r="R41" s="101">
        <f t="shared" si="21"/>
        <v>5000</v>
      </c>
    </row>
    <row r="42" spans="1:52" x14ac:dyDescent="0.3">
      <c r="A42" t="str">
        <f>'Svc-Reliability-Finan COFcalc'!A19</f>
        <v xml:space="preserve"> litigation costs</v>
      </c>
      <c r="D42" s="101">
        <v>100000000</v>
      </c>
      <c r="E42" s="101">
        <v>10000000</v>
      </c>
      <c r="F42" s="101">
        <v>500000</v>
      </c>
      <c r="G42" s="101">
        <v>100000</v>
      </c>
      <c r="I42" s="101">
        <f t="shared" si="17"/>
        <v>13000000</v>
      </c>
      <c r="J42" s="101">
        <f t="shared" si="16"/>
        <v>1300000</v>
      </c>
      <c r="K42" s="101">
        <f t="shared" si="16"/>
        <v>65000</v>
      </c>
      <c r="L42" s="101">
        <f t="shared" si="16"/>
        <v>13000</v>
      </c>
      <c r="M42" s="101"/>
      <c r="O42" s="101">
        <f t="shared" si="18"/>
        <v>100000000</v>
      </c>
      <c r="P42" s="101">
        <f t="shared" si="19"/>
        <v>10000000</v>
      </c>
      <c r="Q42" s="101">
        <f t="shared" si="20"/>
        <v>500000</v>
      </c>
      <c r="R42" s="101">
        <f t="shared" si="21"/>
        <v>100000</v>
      </c>
    </row>
    <row r="43" spans="1:52" x14ac:dyDescent="0.3">
      <c r="A43" t="str">
        <f>'Svc-Reliability-Finan COFcalc'!A20</f>
        <v xml:space="preserve">regulatory actions/fines/cost of new regs </v>
      </c>
      <c r="D43" s="101">
        <v>100000000</v>
      </c>
      <c r="E43" s="101">
        <v>10000000</v>
      </c>
      <c r="F43" s="101">
        <v>500000</v>
      </c>
      <c r="G43" s="101">
        <v>200000</v>
      </c>
      <c r="I43" s="101">
        <f t="shared" si="17"/>
        <v>13000000</v>
      </c>
      <c r="J43" s="101">
        <f t="shared" si="16"/>
        <v>1300000</v>
      </c>
      <c r="K43" s="101">
        <f t="shared" si="16"/>
        <v>65000</v>
      </c>
      <c r="L43" s="101">
        <f t="shared" si="16"/>
        <v>26000</v>
      </c>
      <c r="M43" s="101"/>
      <c r="O43" s="101">
        <f t="shared" si="18"/>
        <v>100000000</v>
      </c>
      <c r="P43" s="101">
        <f t="shared" si="19"/>
        <v>10000000</v>
      </c>
      <c r="Q43" s="101">
        <f t="shared" si="20"/>
        <v>500000</v>
      </c>
      <c r="R43" s="101">
        <f t="shared" si="21"/>
        <v>200000</v>
      </c>
    </row>
    <row r="44" spans="1:52" x14ac:dyDescent="0.3">
      <c r="A44" t="str">
        <f>'Svc-Reliability-Finan COFcalc'!A23</f>
        <v>Home air/local water source monitoring</v>
      </c>
      <c r="D44" s="101">
        <v>10000000</v>
      </c>
      <c r="E44" s="101">
        <v>500000</v>
      </c>
      <c r="F44" s="101">
        <v>20000</v>
      </c>
      <c r="G44" s="101">
        <v>5000</v>
      </c>
      <c r="I44" s="101">
        <f t="shared" si="17"/>
        <v>1300000</v>
      </c>
      <c r="J44" s="101">
        <f t="shared" si="16"/>
        <v>65000</v>
      </c>
      <c r="K44" s="101">
        <f t="shared" si="16"/>
        <v>2600</v>
      </c>
      <c r="L44" s="101">
        <f t="shared" si="16"/>
        <v>650</v>
      </c>
      <c r="M44" s="101"/>
      <c r="O44" s="101">
        <f t="shared" si="18"/>
        <v>10000000</v>
      </c>
      <c r="P44" s="101">
        <f t="shared" si="19"/>
        <v>500000</v>
      </c>
      <c r="Q44" s="101">
        <f t="shared" si="20"/>
        <v>20000</v>
      </c>
      <c r="R44" s="101">
        <f t="shared" si="21"/>
        <v>5000</v>
      </c>
    </row>
    <row r="45" spans="1:52" x14ac:dyDescent="0.3">
      <c r="A45" t="str">
        <f>'Svc-Reliability-Finan COFcalc'!A28</f>
        <v>Wildlife/endangered species impact</v>
      </c>
      <c r="D45" s="101">
        <v>1000000</v>
      </c>
      <c r="E45" s="101">
        <v>100000</v>
      </c>
      <c r="F45" s="101">
        <v>10000</v>
      </c>
      <c r="G45" s="101">
        <v>5000</v>
      </c>
      <c r="I45" s="101">
        <f t="shared" si="17"/>
        <v>130000</v>
      </c>
      <c r="J45" s="101">
        <f t="shared" si="16"/>
        <v>13000</v>
      </c>
      <c r="K45" s="101">
        <f t="shared" si="16"/>
        <v>1300</v>
      </c>
      <c r="L45" s="101">
        <f t="shared" si="16"/>
        <v>650</v>
      </c>
      <c r="M45" s="101"/>
      <c r="O45" s="101">
        <f t="shared" si="18"/>
        <v>1000000</v>
      </c>
      <c r="P45" s="101">
        <f t="shared" si="19"/>
        <v>100000</v>
      </c>
      <c r="Q45" s="101">
        <f t="shared" si="20"/>
        <v>10000</v>
      </c>
      <c r="R45" s="101">
        <f t="shared" si="21"/>
        <v>5000</v>
      </c>
      <c r="AV45" s="241" t="s">
        <v>1043</v>
      </c>
      <c r="AW45" s="241"/>
      <c r="AX45" s="241"/>
      <c r="AY45" s="241" t="s">
        <v>1044</v>
      </c>
    </row>
    <row r="46" spans="1:52" x14ac:dyDescent="0.3">
      <c r="G46" s="101"/>
      <c r="O46" s="172" t="s">
        <v>780</v>
      </c>
      <c r="P46" s="173"/>
      <c r="Q46" s="173"/>
      <c r="R46" s="173"/>
      <c r="AV46" t="s">
        <v>943</v>
      </c>
      <c r="AY46" t="s">
        <v>946</v>
      </c>
    </row>
    <row r="47" spans="1:52" x14ac:dyDescent="0.3">
      <c r="G47" s="101"/>
      <c r="O47" s="166"/>
      <c r="P47" s="166"/>
      <c r="Q47" s="166"/>
      <c r="R47" s="101"/>
      <c r="AV47">
        <f>24*365</f>
        <v>8760</v>
      </c>
      <c r="AW47" t="s">
        <v>944</v>
      </c>
      <c r="AY47">
        <v>8760</v>
      </c>
      <c r="AZ47" t="s">
        <v>944</v>
      </c>
    </row>
    <row r="48" spans="1:52" x14ac:dyDescent="0.3">
      <c r="C48" s="174" t="s">
        <v>800</v>
      </c>
      <c r="D48" s="175">
        <f>SUM(D14,D20,(SUM(D23:D45)))</f>
        <v>1954711323.0312002</v>
      </c>
      <c r="E48" s="175">
        <f t="shared" ref="E48:G48" si="22">SUM(E14,E20,(SUM(E23:E45)))</f>
        <v>54352517.295680001</v>
      </c>
      <c r="F48" s="175">
        <f t="shared" si="22"/>
        <v>4964519.1293120002</v>
      </c>
      <c r="G48" s="175">
        <f t="shared" si="22"/>
        <v>784821.68576000002</v>
      </c>
      <c r="I48" s="175">
        <f>SUM(I14, I23:I27, I30:I45)</f>
        <v>429264769</v>
      </c>
      <c r="J48" s="175">
        <f t="shared" ref="J48:L48" si="23">SUM(J14, J23:J27, J30:J45)</f>
        <v>43727953.799999997</v>
      </c>
      <c r="K48" s="175">
        <f t="shared" si="23"/>
        <v>33043453.070000004</v>
      </c>
      <c r="L48" s="175">
        <f t="shared" si="23"/>
        <v>32432370.307</v>
      </c>
      <c r="M48" s="175"/>
      <c r="O48" s="185">
        <f>SUM(O14,O20,SUM(O23:O45))</f>
        <v>1954711323.0312002</v>
      </c>
      <c r="P48" s="185">
        <f t="shared" ref="P48:R48" si="24">SUM(P14,P20,SUM(P23:P45))</f>
        <v>54352517.295680001</v>
      </c>
      <c r="Q48" s="185">
        <f t="shared" si="24"/>
        <v>4964519.1293120002</v>
      </c>
      <c r="R48" s="185">
        <f t="shared" si="24"/>
        <v>784821.68576000002</v>
      </c>
      <c r="AV48">
        <f>2.04*8760</f>
        <v>17870.400000000001</v>
      </c>
      <c r="AW48" t="s">
        <v>945</v>
      </c>
      <c r="AY48">
        <f>0.17*8760</f>
        <v>1489.2</v>
      </c>
      <c r="AZ48" t="s">
        <v>945</v>
      </c>
    </row>
    <row r="49" spans="1:54" x14ac:dyDescent="0.3">
      <c r="G49" s="101"/>
      <c r="O49" s="166"/>
      <c r="P49" s="166"/>
      <c r="Q49" s="166"/>
      <c r="R49" s="101"/>
      <c r="AV49">
        <f>AV48/1000000*19.3*47</f>
        <v>16.210239840000003</v>
      </c>
      <c r="AW49" t="s">
        <v>947</v>
      </c>
      <c r="AY49">
        <f>AY48/1000000*19.3*47</f>
        <v>1.3508533199999999</v>
      </c>
      <c r="AZ49" t="s">
        <v>947</v>
      </c>
    </row>
    <row r="50" spans="1:54" x14ac:dyDescent="0.3">
      <c r="C50" t="s">
        <v>768</v>
      </c>
      <c r="D50" s="101">
        <f>D14</f>
        <v>349110000</v>
      </c>
      <c r="E50" s="101">
        <f t="shared" ref="E50:G50" si="25">E14</f>
        <v>6465000</v>
      </c>
      <c r="F50" s="101">
        <f t="shared" si="25"/>
        <v>193949.99999999997</v>
      </c>
      <c r="G50" s="101">
        <f t="shared" si="25"/>
        <v>12930</v>
      </c>
      <c r="I50" s="101">
        <f>I14</f>
        <v>381435000</v>
      </c>
      <c r="J50" s="101">
        <f t="shared" ref="J50:L50" si="26">J14</f>
        <v>38790000</v>
      </c>
      <c r="K50" s="101">
        <f t="shared" si="26"/>
        <v>32518950.000000004</v>
      </c>
      <c r="L50" s="101">
        <f t="shared" si="26"/>
        <v>32337930</v>
      </c>
      <c r="M50" s="101"/>
      <c r="O50" s="101">
        <f t="shared" ref="O50:O53" si="27">D50</f>
        <v>349110000</v>
      </c>
      <c r="P50" s="101">
        <f t="shared" ref="P50:P53" si="28">E50</f>
        <v>6465000</v>
      </c>
      <c r="Q50" s="101">
        <f t="shared" ref="Q50:Q53" si="29">F50</f>
        <v>193949.99999999997</v>
      </c>
      <c r="R50" s="101">
        <f t="shared" ref="R50:R53" si="30">G50</f>
        <v>12930</v>
      </c>
    </row>
    <row r="51" spans="1:54" x14ac:dyDescent="0.3">
      <c r="C51" t="s">
        <v>769</v>
      </c>
      <c r="D51" s="101">
        <f>0.5*D26+0.5*D27</f>
        <v>6360650</v>
      </c>
      <c r="E51" s="101">
        <f t="shared" ref="E51:G51" si="31">0.5*E26+0.5*E27</f>
        <v>322130</v>
      </c>
      <c r="F51" s="101">
        <f t="shared" si="31"/>
        <v>45819.5</v>
      </c>
      <c r="G51" s="101">
        <f t="shared" si="31"/>
        <v>4581.9500000000007</v>
      </c>
      <c r="I51" s="101">
        <f>SUM(I23:I27)</f>
        <v>5163769</v>
      </c>
      <c r="J51" s="101">
        <f t="shared" ref="J51:L51" si="32">SUM(J23:J27)</f>
        <v>252753.8</v>
      </c>
      <c r="K51" s="101">
        <f t="shared" si="32"/>
        <v>19323.07</v>
      </c>
      <c r="L51" s="101">
        <f t="shared" si="32"/>
        <v>1932.307</v>
      </c>
      <c r="M51" s="101"/>
      <c r="O51" s="101">
        <f t="shared" si="27"/>
        <v>6360650</v>
      </c>
      <c r="P51" s="101">
        <f t="shared" si="28"/>
        <v>322130</v>
      </c>
      <c r="Q51" s="101">
        <f t="shared" si="29"/>
        <v>45819.5</v>
      </c>
      <c r="R51" s="101">
        <f t="shared" si="30"/>
        <v>4581.9500000000007</v>
      </c>
    </row>
    <row r="52" spans="1:54" x14ac:dyDescent="0.3">
      <c r="C52" s="8" t="s">
        <v>770</v>
      </c>
      <c r="D52" s="170">
        <f>0.5*SUM(D30:D45)</f>
        <v>164100000</v>
      </c>
      <c r="E52" s="170">
        <f t="shared" ref="E52:G52" si="33">0.5*SUM(E30:E45)</f>
        <v>18020000</v>
      </c>
      <c r="F52" s="170">
        <f t="shared" si="33"/>
        <v>1943000</v>
      </c>
      <c r="G52" s="170">
        <f t="shared" si="33"/>
        <v>355800</v>
      </c>
      <c r="I52" s="170">
        <f>SUM(I30:I45)</f>
        <v>42666000</v>
      </c>
      <c r="J52" s="170">
        <f t="shared" ref="J52:L52" si="34">SUM(J30:J45)</f>
        <v>4685200</v>
      </c>
      <c r="K52" s="170">
        <f t="shared" si="34"/>
        <v>505180</v>
      </c>
      <c r="L52" s="170">
        <f t="shared" si="34"/>
        <v>92508</v>
      </c>
      <c r="M52" s="208"/>
      <c r="O52" s="101">
        <f t="shared" si="27"/>
        <v>164100000</v>
      </c>
      <c r="P52" s="101">
        <f t="shared" si="28"/>
        <v>18020000</v>
      </c>
      <c r="Q52" s="101">
        <f t="shared" si="29"/>
        <v>1943000</v>
      </c>
      <c r="R52" s="101">
        <f t="shared" si="30"/>
        <v>355800</v>
      </c>
    </row>
    <row r="53" spans="1:54" s="166" customFormat="1" x14ac:dyDescent="0.3">
      <c r="C53" s="146" t="s">
        <v>773</v>
      </c>
      <c r="D53" s="171">
        <f>SUM(D50:D52)</f>
        <v>519570650</v>
      </c>
      <c r="E53" s="171">
        <f t="shared" ref="E53:G53" si="35">SUM(E50:E52)</f>
        <v>24807130</v>
      </c>
      <c r="F53" s="171">
        <f t="shared" si="35"/>
        <v>2182769.5</v>
      </c>
      <c r="G53" s="171">
        <f t="shared" si="35"/>
        <v>373311.95</v>
      </c>
      <c r="I53" s="171">
        <f>SUM(I50:I52)</f>
        <v>429264769</v>
      </c>
      <c r="J53" s="171">
        <f t="shared" ref="J53:L53" si="36">SUM(J50:J52)</f>
        <v>43727953.799999997</v>
      </c>
      <c r="K53" s="171">
        <f t="shared" si="36"/>
        <v>33043453.070000004</v>
      </c>
      <c r="L53" s="171">
        <f t="shared" si="36"/>
        <v>32432370.307</v>
      </c>
      <c r="M53" s="171"/>
      <c r="O53" s="101">
        <f t="shared" si="27"/>
        <v>519570650</v>
      </c>
      <c r="P53" s="101">
        <f t="shared" si="28"/>
        <v>24807130</v>
      </c>
      <c r="Q53" s="101">
        <f t="shared" si="29"/>
        <v>2182769.5</v>
      </c>
      <c r="R53" s="101">
        <f t="shared" si="30"/>
        <v>373311.95</v>
      </c>
      <c r="BB53" s="166" t="s">
        <v>1041</v>
      </c>
    </row>
    <row r="54" spans="1:54" s="166" customFormat="1" x14ac:dyDescent="0.3">
      <c r="D54" s="101"/>
      <c r="E54" s="101"/>
      <c r="F54" s="101"/>
      <c r="G54" s="101"/>
      <c r="M54" s="217"/>
      <c r="O54" s="101"/>
      <c r="P54" s="101"/>
      <c r="Q54" s="101"/>
      <c r="R54" s="101"/>
      <c r="AS54" s="166" t="s">
        <v>938</v>
      </c>
      <c r="BB54" s="166">
        <f>0.71/0.05</f>
        <v>14.2</v>
      </c>
    </row>
    <row r="55" spans="1:54" x14ac:dyDescent="0.3">
      <c r="O55" s="101"/>
      <c r="P55" s="166"/>
      <c r="Q55" s="166"/>
      <c r="R55" s="166"/>
      <c r="AT55">
        <v>9324</v>
      </c>
      <c r="AU55" t="s">
        <v>939</v>
      </c>
      <c r="BB55">
        <f>36.65/2.454</f>
        <v>14.934800325998369</v>
      </c>
    </row>
    <row r="56" spans="1:54" x14ac:dyDescent="0.3">
      <c r="C56" t="s">
        <v>771</v>
      </c>
      <c r="D56" s="101">
        <f>D20</f>
        <v>1237680023.0312002</v>
      </c>
      <c r="E56" s="101">
        <f t="shared" ref="E56:G56" si="37">E20</f>
        <v>9903257.2956800014</v>
      </c>
      <c r="F56" s="101">
        <f t="shared" si="37"/>
        <v>735930.12931200024</v>
      </c>
      <c r="G56" s="101">
        <f t="shared" si="37"/>
        <v>45427.785759999999</v>
      </c>
      <c r="O56" s="101">
        <f>D56</f>
        <v>1237680023.0312002</v>
      </c>
      <c r="P56" s="101">
        <f>E56</f>
        <v>9903257.2956800014</v>
      </c>
      <c r="Q56" s="101">
        <f>F56</f>
        <v>735930.12931200024</v>
      </c>
      <c r="R56" s="101">
        <f>G56</f>
        <v>45427.785759999999</v>
      </c>
      <c r="AT56">
        <v>276014</v>
      </c>
      <c r="AU56" t="s">
        <v>109</v>
      </c>
    </row>
    <row r="57" spans="1:54" x14ac:dyDescent="0.3">
      <c r="C57" t="s">
        <v>772</v>
      </c>
      <c r="D57" s="101">
        <f>D23+D24+D25+0.5*D26+0.5*D27</f>
        <v>33360650</v>
      </c>
      <c r="E57" s="101">
        <f t="shared" ref="E57:G57" si="38">E23+E24+E25+0.5*E26+0.5*E27</f>
        <v>1622130</v>
      </c>
      <c r="F57" s="101">
        <f t="shared" si="38"/>
        <v>102819.5</v>
      </c>
      <c r="G57" s="101">
        <f t="shared" si="38"/>
        <v>10281.950000000001</v>
      </c>
      <c r="O57" s="101">
        <f t="shared" ref="O57:O59" si="39">D57</f>
        <v>33360650</v>
      </c>
      <c r="P57" s="101">
        <f t="shared" ref="P57:R59" si="40">E57</f>
        <v>1622130</v>
      </c>
      <c r="Q57" s="101">
        <f t="shared" si="40"/>
        <v>102819.5</v>
      </c>
      <c r="R57" s="101">
        <f t="shared" si="40"/>
        <v>10281.950000000001</v>
      </c>
      <c r="AT57">
        <f>AT56/AT55</f>
        <v>29.602531102531103</v>
      </c>
      <c r="AU57" t="s">
        <v>940</v>
      </c>
    </row>
    <row r="58" spans="1:54" x14ac:dyDescent="0.3">
      <c r="C58" s="8" t="s">
        <v>815</v>
      </c>
      <c r="D58" s="170">
        <f>0.5*SUM(D30:D45)</f>
        <v>164100000</v>
      </c>
      <c r="E58" s="170">
        <f t="shared" ref="E58:G58" si="41">0.5*SUM(E30:E45)</f>
        <v>18020000</v>
      </c>
      <c r="F58" s="170">
        <f t="shared" si="41"/>
        <v>1943000</v>
      </c>
      <c r="G58" s="170">
        <f t="shared" si="41"/>
        <v>355800</v>
      </c>
      <c r="O58" s="101">
        <f t="shared" si="39"/>
        <v>164100000</v>
      </c>
      <c r="P58" s="101">
        <f t="shared" si="40"/>
        <v>18020000</v>
      </c>
      <c r="Q58" s="101">
        <f t="shared" si="40"/>
        <v>1943000</v>
      </c>
      <c r="R58" s="101">
        <f t="shared" si="40"/>
        <v>355800</v>
      </c>
      <c r="AT58">
        <v>10</v>
      </c>
      <c r="AU58" t="s">
        <v>941</v>
      </c>
    </row>
    <row r="59" spans="1:54" x14ac:dyDescent="0.3">
      <c r="C59" s="146" t="s">
        <v>774</v>
      </c>
      <c r="D59" s="171">
        <f>SUM(D56:D58)</f>
        <v>1435140673.0312002</v>
      </c>
      <c r="E59" s="171">
        <f t="shared" ref="E59:G59" si="42">SUM(E56:E58)</f>
        <v>29545387.295680001</v>
      </c>
      <c r="F59" s="171">
        <f t="shared" si="42"/>
        <v>2781749.6293120002</v>
      </c>
      <c r="G59" s="171">
        <f t="shared" si="42"/>
        <v>411509.73576000001</v>
      </c>
      <c r="O59" s="101">
        <f t="shared" si="39"/>
        <v>1435140673.0312002</v>
      </c>
      <c r="P59" s="101">
        <f t="shared" si="40"/>
        <v>29545387.295680001</v>
      </c>
      <c r="Q59" s="101">
        <f t="shared" si="40"/>
        <v>2781749.6293120002</v>
      </c>
      <c r="R59" s="101">
        <f t="shared" si="40"/>
        <v>411509.73576000001</v>
      </c>
    </row>
    <row r="60" spans="1:54" x14ac:dyDescent="0.3">
      <c r="C60" s="87" t="s">
        <v>1002</v>
      </c>
      <c r="D60" s="170">
        <f>D53+D59</f>
        <v>1954711323.0312002</v>
      </c>
      <c r="E60" s="170">
        <f t="shared" ref="E60:G60" si="43">E53+E59</f>
        <v>54352517.295680001</v>
      </c>
      <c r="F60" s="170">
        <f t="shared" si="43"/>
        <v>4964519.1293120002</v>
      </c>
      <c r="G60" s="170">
        <f t="shared" si="43"/>
        <v>784821.68576000002</v>
      </c>
      <c r="J60" s="166" t="s">
        <v>951</v>
      </c>
      <c r="O60" s="101">
        <f>O53+O59</f>
        <v>1954711323.0312002</v>
      </c>
      <c r="P60" s="101">
        <f t="shared" ref="P60:R60" si="44">P53+P59</f>
        <v>54352517.295680001</v>
      </c>
      <c r="Q60" s="101">
        <f t="shared" si="44"/>
        <v>4964519.1293120002</v>
      </c>
      <c r="R60" s="101">
        <f t="shared" si="44"/>
        <v>784821.68576000002</v>
      </c>
      <c r="AS60" t="s">
        <v>942</v>
      </c>
    </row>
    <row r="61" spans="1:54" x14ac:dyDescent="0.3">
      <c r="C61" s="86" t="s">
        <v>998</v>
      </c>
      <c r="D61" s="233"/>
      <c r="E61" s="233"/>
      <c r="F61" s="233"/>
      <c r="G61" s="233"/>
      <c r="I61" t="s">
        <v>952</v>
      </c>
      <c r="O61" s="73" t="s">
        <v>781</v>
      </c>
    </row>
    <row r="62" spans="1:54" x14ac:dyDescent="0.3">
      <c r="A62" s="86"/>
      <c r="C62" s="217" t="s">
        <v>1001</v>
      </c>
      <c r="D62" s="101">
        <f>O111</f>
        <v>736920305.6080302</v>
      </c>
      <c r="E62" s="101">
        <f t="shared" ref="E62" si="45">P111</f>
        <v>23284279.5174248</v>
      </c>
      <c r="F62" s="101">
        <f t="shared" ref="F62" si="46">Q111</f>
        <v>2483221.2219620803</v>
      </c>
      <c r="G62" s="101">
        <f t="shared" ref="G62" si="47">R111</f>
        <v>400261.7234362</v>
      </c>
      <c r="I62" t="s">
        <v>953</v>
      </c>
      <c r="J62" s="166">
        <v>0.05</v>
      </c>
      <c r="K62" s="166">
        <f>1/24*1/30*0.05</f>
        <v>6.9444444444444444E-5</v>
      </c>
      <c r="O62" s="73" t="s">
        <v>1018</v>
      </c>
    </row>
    <row r="63" spans="1:54" x14ac:dyDescent="0.3">
      <c r="C63" t="s">
        <v>797</v>
      </c>
      <c r="D63" s="101">
        <f>O112</f>
        <v>679703464.33451605</v>
      </c>
      <c r="E63" s="101">
        <f t="shared" ref="E63:G65" si="48">P112</f>
        <v>22421481.1233152</v>
      </c>
      <c r="F63" s="101">
        <f t="shared" si="48"/>
        <v>2445481.1628094399</v>
      </c>
      <c r="G63" s="101">
        <f t="shared" si="48"/>
        <v>398169.514364</v>
      </c>
      <c r="I63" t="s">
        <v>954</v>
      </c>
      <c r="J63" s="166">
        <v>0.18</v>
      </c>
      <c r="K63" s="166">
        <f>3.5/24*1/30*0.18</f>
        <v>8.7500000000000002E-4</v>
      </c>
      <c r="O63" s="73" t="s">
        <v>1019</v>
      </c>
    </row>
    <row r="64" spans="1:54" x14ac:dyDescent="0.3">
      <c r="C64" s="166" t="s">
        <v>798</v>
      </c>
      <c r="D64" s="101">
        <f t="shared" ref="D64:D65" si="49">O113</f>
        <v>646429670.48622644</v>
      </c>
      <c r="E64" s="101">
        <f t="shared" si="48"/>
        <v>21919730.672586851</v>
      </c>
      <c r="F64" s="101">
        <f t="shared" si="48"/>
        <v>2423533.8668714436</v>
      </c>
      <c r="G64" s="101">
        <f t="shared" si="48"/>
        <v>396952.81431893597</v>
      </c>
      <c r="I64" t="s">
        <v>955</v>
      </c>
      <c r="J64" s="166">
        <v>0.26</v>
      </c>
      <c r="K64" s="166">
        <f>15/24*1/30*0.26</f>
        <v>5.4166666666666669E-3</v>
      </c>
      <c r="N64" s="224" t="s">
        <v>980</v>
      </c>
      <c r="O64" s="73" t="s">
        <v>1020</v>
      </c>
    </row>
    <row r="65" spans="1:21" x14ac:dyDescent="0.3">
      <c r="C65" s="166" t="s">
        <v>799</v>
      </c>
      <c r="D65" s="101">
        <f t="shared" si="49"/>
        <v>635588399.45354033</v>
      </c>
      <c r="E65" s="101">
        <f t="shared" si="48"/>
        <v>21756250.287635252</v>
      </c>
      <c r="F65" s="101">
        <f t="shared" si="48"/>
        <v>2416382.9965864602</v>
      </c>
      <c r="G65" s="101">
        <f t="shared" si="48"/>
        <v>396556.38898150198</v>
      </c>
      <c r="I65" t="s">
        <v>956</v>
      </c>
      <c r="J65" s="166">
        <v>0.41</v>
      </c>
      <c r="K65" s="166">
        <f>4*1/30*0.41</f>
        <v>5.4666666666666662E-2</v>
      </c>
      <c r="M65" s="224" t="s">
        <v>978</v>
      </c>
      <c r="N65" s="223" t="s">
        <v>979</v>
      </c>
      <c r="O65" s="73" t="s">
        <v>1021</v>
      </c>
    </row>
    <row r="66" spans="1:21" x14ac:dyDescent="0.3">
      <c r="C66" s="86" t="s">
        <v>999</v>
      </c>
      <c r="I66" t="s">
        <v>957</v>
      </c>
      <c r="J66" s="166">
        <v>0.1</v>
      </c>
      <c r="K66" s="166">
        <f>18.5*1/30*0.09</f>
        <v>5.5500000000000001E-2</v>
      </c>
      <c r="M66" s="224">
        <v>0.45</v>
      </c>
      <c r="N66" s="224">
        <v>0.55000000000000004</v>
      </c>
      <c r="O66" s="223" t="s">
        <v>976</v>
      </c>
      <c r="P66" s="223">
        <v>0.875</v>
      </c>
      <c r="Q66" s="223">
        <f>1-P66</f>
        <v>0.125</v>
      </c>
      <c r="R66" s="223">
        <f>1/Q66</f>
        <v>8</v>
      </c>
      <c r="S66" t="s">
        <v>1053</v>
      </c>
      <c r="T66" t="s">
        <v>1052</v>
      </c>
      <c r="U66" t="s">
        <v>1051</v>
      </c>
    </row>
    <row r="67" spans="1:21" x14ac:dyDescent="0.3">
      <c r="C67" s="217" t="s">
        <v>1003</v>
      </c>
      <c r="D67" s="101">
        <f>O70+(0.5*O$20*$N$66)+(O84)+(0.5*O$27*$N$66*$P66)+(0.5*SUM(O$30:O$45)*$N$66*$P66)</f>
        <v>635052804.16858017</v>
      </c>
      <c r="E67" s="101">
        <f>P70+(0.5*P$20*$N$67)+(P84)+(0.5*P$27*$N$67*$P66)+(0.5*SUM(P$30:P$45)*$N$67*$P66)</f>
        <v>20244075.9364448</v>
      </c>
      <c r="F67" s="101">
        <f>Q70+(0.5*Q$20*$N$68)+(Q84)+(0.5*Q$27*$N$68*$P66)+(0.5*SUM(Q$30:Q$45)*$N$68*$P66)</f>
        <v>2186600.5888800798</v>
      </c>
      <c r="G67" s="101">
        <f>R70+(0.5*R$20*$N$69)+(R84)+(0.5*R$27*$N$69*$P66)+(0.5*SUM(R$30:R$45)*$N$69*$P66)</f>
        <v>352172.48682619998</v>
      </c>
      <c r="K67" s="166">
        <f>45*1/30*0.01</f>
        <v>1.4999999999999999E-2</v>
      </c>
      <c r="M67" s="224">
        <v>0.28000000000000003</v>
      </c>
      <c r="N67" s="224">
        <v>0.72</v>
      </c>
      <c r="O67" s="223" t="s">
        <v>782</v>
      </c>
      <c r="P67" s="223">
        <v>0.94</v>
      </c>
      <c r="Q67" s="223">
        <f>1-P67</f>
        <v>6.0000000000000053E-2</v>
      </c>
      <c r="R67" s="223">
        <f>1/Q67</f>
        <v>16.666666666666654</v>
      </c>
      <c r="S67">
        <f>1-T67</f>
        <v>0.990116</v>
      </c>
      <c r="T67">
        <f>0.00133+0.000124+0.0077+0.00073</f>
        <v>9.8840000000000004E-3</v>
      </c>
      <c r="U67">
        <f>1/T67</f>
        <v>101.17361392148928</v>
      </c>
    </row>
    <row r="68" spans="1:21" x14ac:dyDescent="0.3">
      <c r="C68" t="s">
        <v>801</v>
      </c>
      <c r="D68" s="101">
        <f t="shared" ref="D68:D70" si="50">O71+(0.5*O$20*$N$66)+(O85)+(0.5*O$27*$N$66*$P67)+(0.5*SUM(O$30:O$45)*$N$66*$P67)</f>
        <v>630807063.64358008</v>
      </c>
      <c r="E68" s="101">
        <f t="shared" ref="E68:E70" si="51">P71+(0.5*P$20*$N$67)+(P85)+(0.5*P$27*$N$67*$P67)+(0.5*SUM(P$30:P$45)*$N$67*$P67)</f>
        <v>20962183.404444799</v>
      </c>
      <c r="F68" s="101">
        <f t="shared" ref="F68:F70" si="52">Q71+(0.5*Q$20*$N$68)+(Q85)+(0.5*Q$27*$N$68*$P67)+(0.5*SUM(Q$30:Q$45)*$N$68*$P67)</f>
        <v>2303103.2589300801</v>
      </c>
      <c r="G68" s="101">
        <f t="shared" ref="G68:G70" si="53">R71+(0.5*R$20*$N$69)+(R85)+(0.5*R$27*$N$69*$P67)+(0.5*SUM(R$30:R$45)*$N$69*$P67)</f>
        <v>375086.68079119996</v>
      </c>
      <c r="M68" s="224">
        <v>7.0000000000000007E-2</v>
      </c>
      <c r="N68" s="224">
        <v>0.93</v>
      </c>
      <c r="O68" s="223" t="s">
        <v>44</v>
      </c>
      <c r="P68" s="223">
        <v>0.9778</v>
      </c>
      <c r="Q68" s="223">
        <f>1-P68</f>
        <v>2.2199999999999998E-2</v>
      </c>
      <c r="R68" s="223">
        <f>1/Q68</f>
        <v>45.04504504504505</v>
      </c>
      <c r="S68" s="217">
        <f>1-T68</f>
        <v>0.96</v>
      </c>
      <c r="T68">
        <v>0.04</v>
      </c>
      <c r="U68" s="217">
        <f>1/T68</f>
        <v>25</v>
      </c>
    </row>
    <row r="69" spans="1:21" x14ac:dyDescent="0.3">
      <c r="C69" s="166" t="s">
        <v>802</v>
      </c>
      <c r="D69" s="101">
        <f t="shared" si="50"/>
        <v>628338002.23058009</v>
      </c>
      <c r="E69" s="101">
        <f t="shared" si="51"/>
        <v>21379790.516604804</v>
      </c>
      <c r="F69" s="101">
        <f t="shared" si="52"/>
        <v>2370854.0424360801</v>
      </c>
      <c r="G69" s="101">
        <f t="shared" si="53"/>
        <v>388412.165897</v>
      </c>
      <c r="J69" s="166" t="s">
        <v>958</v>
      </c>
      <c r="K69" s="166">
        <f>SUM(K62:K67)</f>
        <v>0.13152777777777777</v>
      </c>
      <c r="M69" s="224">
        <v>0.01</v>
      </c>
      <c r="N69" s="224">
        <v>0.99</v>
      </c>
      <c r="O69" s="223" t="s">
        <v>94</v>
      </c>
      <c r="P69" s="223">
        <f>1-Q69</f>
        <v>0.990116</v>
      </c>
      <c r="Q69" s="223">
        <f>0.009884</f>
        <v>9.8840000000000004E-3</v>
      </c>
      <c r="R69" s="223">
        <f>1/Q69</f>
        <v>101.17361392148928</v>
      </c>
    </row>
    <row r="70" spans="1:21" x14ac:dyDescent="0.3">
      <c r="A70" s="101">
        <f>D65-D75</f>
        <v>627533532.37972009</v>
      </c>
      <c r="C70" s="166" t="s">
        <v>803</v>
      </c>
      <c r="D70" s="101">
        <f t="shared" si="50"/>
        <v>627533532.37972009</v>
      </c>
      <c r="E70" s="101">
        <f t="shared" si="51"/>
        <v>21515855.310079999</v>
      </c>
      <c r="F70" s="101">
        <f t="shared" si="52"/>
        <v>2392928.6098874002</v>
      </c>
      <c r="G70" s="101">
        <f t="shared" si="53"/>
        <v>392753.87686427601</v>
      </c>
      <c r="J70" s="166" t="s">
        <v>959</v>
      </c>
      <c r="N70" t="s">
        <v>977</v>
      </c>
      <c r="O70" s="101">
        <f>$O$14*$N$66*$P66+$O$14*(1-$P66)</f>
        <v>211647937.50000003</v>
      </c>
      <c r="P70" s="101">
        <f>$P$14*$N$67*P66+$P$14*(1-$P66)</f>
        <v>4881075</v>
      </c>
      <c r="Q70" s="101">
        <f>$Q$14*$N$68*$P66+$Q$14*(1-$P66)</f>
        <v>182070.56249999997</v>
      </c>
      <c r="R70" s="101">
        <f>$R$14*$N$69*$P66+$R$14*(1-$P66)</f>
        <v>12816.862500000001</v>
      </c>
    </row>
    <row r="71" spans="1:21" x14ac:dyDescent="0.3">
      <c r="A71" s="101">
        <f>A70-D70</f>
        <v>0</v>
      </c>
      <c r="C71" s="86" t="s">
        <v>1011</v>
      </c>
      <c r="N71" t="s">
        <v>783</v>
      </c>
      <c r="O71" s="101">
        <f t="shared" ref="O71:O73" si="54">$O$14*$N$66*$P67+$O$14*(1-$P67)</f>
        <v>201436470.00000006</v>
      </c>
      <c r="P71" s="101">
        <f t="shared" ref="P71:P73" si="55">$P$14*$N$67*P67+$P$14*(1-$P67)</f>
        <v>4763412</v>
      </c>
      <c r="Q71" s="101">
        <f t="shared" ref="Q71:Q73" si="56">$Q$14*$N$68*$P67+$Q$14*(1-$P67)</f>
        <v>181188.08999999997</v>
      </c>
      <c r="R71" s="101">
        <f t="shared" ref="R71:R73" si="57">$R$14*$N$69*$P67+$R$14*(1-$P67)</f>
        <v>12808.458000000001</v>
      </c>
    </row>
    <row r="72" spans="1:21" x14ac:dyDescent="0.3">
      <c r="C72" s="217" t="s">
        <v>1004</v>
      </c>
      <c r="D72" s="101">
        <f>(0.5*O$20*(1-$P66))+O80+(0.5*O$27*(1-$P66))+(0.5*SUM(O$30:O$45)*(1-$P66))</f>
        <v>101867501.43945001</v>
      </c>
      <c r="E72" s="101">
        <f>(0.5*P$20*(1-$P66))+P80+(0.5*P$27*(1-$P66))+(0.5*SUM(P$30:P$45)*(1-$P66))</f>
        <v>3040203.5809800001</v>
      </c>
      <c r="F72" s="101">
        <f>(0.5*Q$20*(1-$P66))+Q80+(0.5*Q$27*(1-$P66))+(0.5*SUM(Q$30:Q$45)*(1-$P66))</f>
        <v>296620.63308200001</v>
      </c>
      <c r="G72" s="101">
        <f>(0.5*R$20*(1-$P66))+R80+(0.5*R$27*(1-$P66))+(0.5*SUM(R$30:R$45)*(1-$P66))</f>
        <v>48089.23661</v>
      </c>
      <c r="N72" s="166" t="s">
        <v>784</v>
      </c>
      <c r="O72" s="101">
        <f t="shared" si="54"/>
        <v>195498108.90000004</v>
      </c>
      <c r="P72" s="101">
        <f t="shared" si="55"/>
        <v>4694986.4400000004</v>
      </c>
      <c r="Q72" s="101">
        <f t="shared" si="56"/>
        <v>180674.89829999997</v>
      </c>
      <c r="R72" s="101">
        <f t="shared" si="57"/>
        <v>12803.570460000001</v>
      </c>
    </row>
    <row r="73" spans="1:21" x14ac:dyDescent="0.3">
      <c r="C73" t="s">
        <v>807</v>
      </c>
      <c r="D73" s="101">
        <f t="shared" ref="D73:D75" si="58">(0.5*O$20*(1-$P67))+O81+(0.5*O$27*(1-$P67))+(0.5*SUM(O$30:O$45)*(1-$P67))</f>
        <v>48896400.690936044</v>
      </c>
      <c r="E73" s="101">
        <f t="shared" ref="E73:G75" si="59">(0.5*P$20*(1-$P67))+P81+(0.5*P$27*(1-$P67))+(0.5*SUM(P$30:P$45)*(1-$P67))</f>
        <v>1459297.7188704014</v>
      </c>
      <c r="F73" s="101">
        <f t="shared" si="59"/>
        <v>142377.90387936012</v>
      </c>
      <c r="G73" s="101">
        <f t="shared" si="59"/>
        <v>23082.83357280002</v>
      </c>
      <c r="N73" s="8" t="s">
        <v>785</v>
      </c>
      <c r="O73" s="170">
        <f t="shared" si="54"/>
        <v>193563271.45800003</v>
      </c>
      <c r="P73" s="170">
        <f t="shared" si="55"/>
        <v>4672692.0167999994</v>
      </c>
      <c r="Q73" s="170">
        <f t="shared" si="56"/>
        <v>180507.69012599997</v>
      </c>
      <c r="R73" s="170">
        <f t="shared" si="57"/>
        <v>12801.978001200001</v>
      </c>
    </row>
    <row r="74" spans="1:21" x14ac:dyDescent="0.3">
      <c r="C74" t="s">
        <v>808</v>
      </c>
      <c r="D74" s="101">
        <f t="shared" si="58"/>
        <v>18091668.255646318</v>
      </c>
      <c r="E74" s="101">
        <f t="shared" si="59"/>
        <v>539940.1559820479</v>
      </c>
      <c r="F74" s="101">
        <f t="shared" si="59"/>
        <v>52679.824435363204</v>
      </c>
      <c r="G74" s="101">
        <f t="shared" si="59"/>
        <v>8540.6484219359991</v>
      </c>
      <c r="N74" s="217" t="s">
        <v>981</v>
      </c>
      <c r="O74" s="101">
        <f>0.5*$O$20*$N$66+0.5*$O$20*(1-$P66)</f>
        <v>417717007.7730301</v>
      </c>
      <c r="P74" s="101">
        <f>0.5*$P$20*$N$67+0.5*$P$20*(1-$P66)</f>
        <v>4184126.2074248004</v>
      </c>
      <c r="Q74" s="101">
        <f>0.5*$Q$20*$N$68+0.5*$Q$20*(1-$P66)</f>
        <v>388203.14321208012</v>
      </c>
      <c r="R74" s="101">
        <f>0.5*$R$20*$N$69+0.5*$R$20*(1-P66)</f>
        <v>25325.9905612</v>
      </c>
    </row>
    <row r="75" spans="1:21" x14ac:dyDescent="0.3">
      <c r="C75" t="s">
        <v>809</v>
      </c>
      <c r="D75" s="101">
        <f t="shared" si="58"/>
        <v>8054867.0738201942</v>
      </c>
      <c r="E75" s="101">
        <f t="shared" si="59"/>
        <v>240394.97755525066</v>
      </c>
      <c r="F75" s="101">
        <f t="shared" si="59"/>
        <v>23454.386699059916</v>
      </c>
      <c r="G75" s="101">
        <f t="shared" si="59"/>
        <v>3802.5121172259214</v>
      </c>
      <c r="N75" s="217" t="s">
        <v>982</v>
      </c>
      <c r="O75" s="101">
        <f t="shared" ref="O75:O77" si="60">0.5*$O$20*$N$66+0.5*$O$20*(1-$P67)</f>
        <v>377492407.02451611</v>
      </c>
      <c r="P75" s="101">
        <f t="shared" ref="P75:P77" si="61">0.5*$P$20*$N$67+0.5*$P$20*(1-$P67)</f>
        <v>3862270.3453152007</v>
      </c>
      <c r="Q75" s="101">
        <f t="shared" ref="Q75:Q77" si="62">0.5*$Q$20*$N$68+0.5*$Q$20*(1-$P67)</f>
        <v>364285.41400944011</v>
      </c>
      <c r="R75" s="101">
        <f t="shared" ref="R75:R77" si="63">0.5*$R$20*$N$69+0.5*$R$20*(1-P67)</f>
        <v>23849.587524000002</v>
      </c>
    </row>
    <row r="76" spans="1:21" x14ac:dyDescent="0.3">
      <c r="N76" s="217" t="s">
        <v>983</v>
      </c>
      <c r="O76" s="101">
        <f t="shared" si="60"/>
        <v>354100254.58922642</v>
      </c>
      <c r="P76" s="101">
        <f t="shared" si="61"/>
        <v>3675098.7824268481</v>
      </c>
      <c r="Q76" s="101">
        <f t="shared" si="62"/>
        <v>350376.33456544328</v>
      </c>
      <c r="R76" s="101">
        <f t="shared" si="63"/>
        <v>22991.002373136002</v>
      </c>
    </row>
    <row r="77" spans="1:21" x14ac:dyDescent="0.3">
      <c r="C77" s="86" t="s">
        <v>1000</v>
      </c>
      <c r="N77" s="217" t="s">
        <v>984</v>
      </c>
      <c r="O77" s="101">
        <f t="shared" si="60"/>
        <v>346478621.00740027</v>
      </c>
      <c r="P77" s="101">
        <f t="shared" si="61"/>
        <v>3614114.524000051</v>
      </c>
      <c r="Q77" s="101">
        <f t="shared" si="62"/>
        <v>345844.47682913998</v>
      </c>
      <c r="R77" s="101">
        <f t="shared" si="63"/>
        <v>22711.258068425919</v>
      </c>
    </row>
    <row r="78" spans="1:21" x14ac:dyDescent="0.3">
      <c r="C78" t="s">
        <v>810</v>
      </c>
      <c r="D78" s="101" t="e">
        <f>O$79+O$81+O$82+O$83+O$96+O$103</f>
        <v>#VALUE!</v>
      </c>
      <c r="E78" s="101" t="e">
        <f t="shared" ref="E78:G78" si="64">P$79+P$81+P$82+P$83+P$96+P$103</f>
        <v>#VALUE!</v>
      </c>
      <c r="F78" s="101" t="e">
        <f t="shared" si="64"/>
        <v>#VALUE!</v>
      </c>
      <c r="G78" s="101" t="e">
        <f t="shared" si="64"/>
        <v>#VALUE!</v>
      </c>
      <c r="I78" s="86" t="s">
        <v>855</v>
      </c>
      <c r="O78" s="101"/>
      <c r="P78" s="101"/>
      <c r="Q78" s="101"/>
      <c r="R78" s="101"/>
    </row>
    <row r="79" spans="1:21" x14ac:dyDescent="0.3">
      <c r="C79" s="166" t="s">
        <v>1010</v>
      </c>
      <c r="D79" s="101">
        <f>D75+D70</f>
        <v>635588399.45354033</v>
      </c>
      <c r="E79" s="101">
        <f t="shared" ref="E79:G79" si="65">E75+E70</f>
        <v>21756250.287635248</v>
      </c>
      <c r="F79" s="101">
        <f t="shared" si="65"/>
        <v>2416382.9965864602</v>
      </c>
      <c r="G79" s="101">
        <f t="shared" si="65"/>
        <v>396556.38898150192</v>
      </c>
      <c r="I79" s="175">
        <f>I48</f>
        <v>429264769</v>
      </c>
      <c r="J79" s="175">
        <f t="shared" ref="J79:L79" si="66">J48</f>
        <v>43727953.799999997</v>
      </c>
      <c r="K79" s="175">
        <f t="shared" si="66"/>
        <v>33043453.070000004</v>
      </c>
      <c r="L79" s="175">
        <f t="shared" si="66"/>
        <v>32432370.307</v>
      </c>
      <c r="M79" s="227"/>
      <c r="N79" s="8" t="s">
        <v>989</v>
      </c>
      <c r="O79" s="228" t="s">
        <v>985</v>
      </c>
      <c r="P79" s="228" t="s">
        <v>985</v>
      </c>
      <c r="Q79" s="228" t="s">
        <v>985</v>
      </c>
      <c r="R79" s="228" t="s">
        <v>985</v>
      </c>
    </row>
    <row r="80" spans="1:21" x14ac:dyDescent="0.3">
      <c r="C80" s="166"/>
      <c r="D80" s="101" t="e">
        <f>D63-D68-D78</f>
        <v>#VALUE!</v>
      </c>
      <c r="E80" s="101" t="e">
        <f t="shared" ref="E80:G80" si="67">E63-E68-E78</f>
        <v>#VALUE!</v>
      </c>
      <c r="F80" s="101" t="e">
        <f t="shared" si="67"/>
        <v>#VALUE!</v>
      </c>
      <c r="G80" s="101" t="e">
        <f t="shared" si="67"/>
        <v>#VALUE!</v>
      </c>
      <c r="I80" s="86" t="s">
        <v>856</v>
      </c>
      <c r="J80" s="86"/>
      <c r="M80" s="217" t="s">
        <v>1008</v>
      </c>
      <c r="N80" s="217" t="s">
        <v>986</v>
      </c>
      <c r="O80" s="101">
        <f>SUM($O$23:$O$25)*(1-$P66)</f>
        <v>3375000</v>
      </c>
      <c r="P80" s="101">
        <f>SUM($P$23:$P$25)*(1-$P66)</f>
        <v>162500</v>
      </c>
      <c r="Q80" s="101">
        <f>SUM($Q$23:$Q$25)*(1-$P66)</f>
        <v>7125</v>
      </c>
      <c r="R80" s="101">
        <f>SUM($R$23:$R$25)*(1-$P66)</f>
        <v>712.5</v>
      </c>
    </row>
    <row r="81" spans="4:21" x14ac:dyDescent="0.3">
      <c r="D81" s="101">
        <f>D67+D72</f>
        <v>736920305.6080302</v>
      </c>
      <c r="E81" s="101">
        <f t="shared" ref="E81:F81" si="68">E67+E72</f>
        <v>23284279.5174248</v>
      </c>
      <c r="F81" s="101">
        <f t="shared" si="68"/>
        <v>2483221.2219620799</v>
      </c>
      <c r="G81" s="199" t="s">
        <v>848</v>
      </c>
      <c r="I81" s="8" t="s">
        <v>849</v>
      </c>
      <c r="J81" s="8" t="s">
        <v>850</v>
      </c>
      <c r="K81" s="8" t="s">
        <v>851</v>
      </c>
      <c r="L81" s="8" t="s">
        <v>852</v>
      </c>
      <c r="M81" s="207"/>
      <c r="N81" s="166" t="s">
        <v>1005</v>
      </c>
      <c r="O81" s="101">
        <f t="shared" ref="O81:O83" si="69">SUM($O$23:$O$25)*(1-$P67)</f>
        <v>1620000.0000000014</v>
      </c>
      <c r="P81" s="101">
        <f t="shared" ref="P81:P83" si="70">SUM($P$23:$P$25)*(1-$P67)</f>
        <v>78000.000000000073</v>
      </c>
      <c r="Q81" s="101">
        <f t="shared" ref="Q81:Q83" si="71">SUM($Q$23:$Q$25)*(1-$P67)</f>
        <v>3420.0000000000032</v>
      </c>
      <c r="R81" s="101">
        <f t="shared" ref="R81:R83" si="72">SUM($R$23:$R$25)*(1-$P67)</f>
        <v>342.00000000000028</v>
      </c>
    </row>
    <row r="82" spans="4:21" x14ac:dyDescent="0.3">
      <c r="G82" s="200" t="s">
        <v>782</v>
      </c>
      <c r="I82">
        <v>5.5555555555555558E-5</v>
      </c>
      <c r="J82" s="166">
        <v>3.3333333333333333E-6</v>
      </c>
      <c r="K82" s="166">
        <v>8.88888888888889E-6</v>
      </c>
      <c r="L82" s="166">
        <v>1.5555555555555556E-6</v>
      </c>
      <c r="N82" s="217" t="s">
        <v>1006</v>
      </c>
      <c r="O82" s="101">
        <f t="shared" si="69"/>
        <v>599399.99999999988</v>
      </c>
      <c r="P82" s="101">
        <f t="shared" si="70"/>
        <v>28859.999999999996</v>
      </c>
      <c r="Q82" s="101">
        <f t="shared" si="71"/>
        <v>1265.3999999999999</v>
      </c>
      <c r="R82" s="101">
        <f t="shared" si="72"/>
        <v>126.53999999999999</v>
      </c>
    </row>
    <row r="83" spans="4:21" x14ac:dyDescent="0.3">
      <c r="G83" s="200" t="s">
        <v>44</v>
      </c>
      <c r="I83">
        <v>1.25E-4</v>
      </c>
      <c r="J83" s="166">
        <v>7.4999999999999993E-6</v>
      </c>
      <c r="K83" s="166">
        <v>2.0000000000000002E-5</v>
      </c>
      <c r="L83" s="166">
        <v>3.4999999999999999E-6</v>
      </c>
      <c r="N83" s="8" t="s">
        <v>1007</v>
      </c>
      <c r="O83" s="170">
        <f t="shared" si="69"/>
        <v>266868.00000000012</v>
      </c>
      <c r="P83" s="170">
        <f t="shared" si="70"/>
        <v>12849.200000000004</v>
      </c>
      <c r="Q83" s="170">
        <f t="shared" si="71"/>
        <v>563.38800000000026</v>
      </c>
      <c r="R83" s="170">
        <f t="shared" si="72"/>
        <v>56.33880000000002</v>
      </c>
    </row>
    <row r="84" spans="4:21" x14ac:dyDescent="0.3">
      <c r="G84" s="200" t="s">
        <v>94</v>
      </c>
      <c r="I84">
        <v>3.1250000000000001E-4</v>
      </c>
      <c r="J84" s="166">
        <v>1.8749999999999998E-5</v>
      </c>
      <c r="K84" s="166">
        <v>5.0000000000000002E-5</v>
      </c>
      <c r="L84" s="166">
        <v>8.7499999999999992E-6</v>
      </c>
      <c r="M84" s="217" t="s">
        <v>1009</v>
      </c>
      <c r="N84" s="166" t="s">
        <v>987</v>
      </c>
      <c r="O84" s="215">
        <f>O$26*$N$66*$P66+O$26*(1-$P66)+O$26*0.005+19.3*47*0.1</f>
        <v>1663485.3350000002</v>
      </c>
      <c r="P84" s="215">
        <f>P$26*$N$67*$P66+P$26*(1-$P66)+P$26*0.005+19.3*47*0.1</f>
        <v>413728.31</v>
      </c>
      <c r="Q84" s="215">
        <f>Q$26*$N$68*$P66+Q$26*(1-$P66)+Q$26*0.005+19.3*47*0.1</f>
        <v>77137.516250000015</v>
      </c>
      <c r="R84" s="215">
        <f>R$26*$N$69*$P66+R$26*(1-$P66)+R$26*0.005+19.3*47*0.1</f>
        <v>8223.9953750000004</v>
      </c>
      <c r="S84" t="s">
        <v>948</v>
      </c>
      <c r="U84">
        <f>19.3*47*1</f>
        <v>907.1</v>
      </c>
    </row>
    <row r="85" spans="4:21" x14ac:dyDescent="0.3">
      <c r="G85" s="145" t="s">
        <v>911</v>
      </c>
      <c r="I85">
        <v>1.25E-3</v>
      </c>
      <c r="J85" s="166">
        <v>7.4999999999999993E-5</v>
      </c>
      <c r="K85" s="166">
        <v>2.0000000000000001E-4</v>
      </c>
      <c r="L85" s="166">
        <v>3.4999999999999997E-5</v>
      </c>
      <c r="N85" s="166" t="s">
        <v>786</v>
      </c>
      <c r="O85" s="215">
        <f t="shared" ref="O85:O87" si="73">O$26*$N$66*$P67+O$26*(1-$P67)+O$26*0.005+19.3*47*0.1</f>
        <v>1583887.3100000003</v>
      </c>
      <c r="P85" s="215">
        <f t="shared" ref="P85:P87" si="74">P$26*$N$67*$P67+P$26*(1-$P67)+P$26*0.005+19.3*47*0.1</f>
        <v>403822.77800000005</v>
      </c>
      <c r="Q85" s="215">
        <f t="shared" ref="Q85:Q87" si="75">Q$26*$N$68*$P67+Q$26*(1-$P67)+Q$26*0.005+19.3*47*0.1</f>
        <v>76766.058800000028</v>
      </c>
      <c r="R85" s="215">
        <f t="shared" ref="R85:R87" si="76">R$26*$N$69*$P67+R$26*(1-$P67)+R$26*0.005+19.3*47*0.1</f>
        <v>8218.6888400000007</v>
      </c>
      <c r="S85" t="s">
        <v>949</v>
      </c>
    </row>
    <row r="86" spans="4:21" x14ac:dyDescent="0.3">
      <c r="I86" s="86" t="s">
        <v>853</v>
      </c>
      <c r="N86" s="166" t="s">
        <v>988</v>
      </c>
      <c r="O86" s="215">
        <f t="shared" si="73"/>
        <v>1537597.9970000002</v>
      </c>
      <c r="P86" s="215">
        <f t="shared" si="74"/>
        <v>398062.33016000001</v>
      </c>
      <c r="Q86" s="215">
        <f t="shared" si="75"/>
        <v>76550.042006000018</v>
      </c>
      <c r="R86" s="215">
        <f t="shared" si="76"/>
        <v>8215.6028857999991</v>
      </c>
      <c r="S86" t="s">
        <v>950</v>
      </c>
    </row>
    <row r="87" spans="4:21" s="166" customFormat="1" x14ac:dyDescent="0.3">
      <c r="I87" s="8" t="s">
        <v>854</v>
      </c>
      <c r="J87" s="8"/>
      <c r="K87" s="8"/>
      <c r="L87" s="8"/>
      <c r="M87" s="207"/>
      <c r="N87" s="8" t="s">
        <v>787</v>
      </c>
      <c r="O87" s="229">
        <f t="shared" si="73"/>
        <v>1522516.0081400003</v>
      </c>
      <c r="P87" s="229">
        <f t="shared" si="74"/>
        <v>396185.46043520002</v>
      </c>
      <c r="Q87" s="229">
        <f t="shared" si="75"/>
        <v>76479.659391320019</v>
      </c>
      <c r="R87" s="229">
        <f t="shared" si="76"/>
        <v>8214.5974198759995</v>
      </c>
    </row>
    <row r="88" spans="4:21" x14ac:dyDescent="0.3">
      <c r="I88" s="101">
        <f>$I82*I$53</f>
        <v>23848.042722222224</v>
      </c>
      <c r="J88" s="101">
        <f t="shared" ref="J88:L88" si="77">$I82*J$53</f>
        <v>2429.3307666666665</v>
      </c>
      <c r="K88" s="101">
        <f t="shared" si="77"/>
        <v>1835.747392777778</v>
      </c>
      <c r="L88" s="101">
        <f t="shared" si="77"/>
        <v>1801.798350388889</v>
      </c>
      <c r="M88" s="101"/>
      <c r="N88" s="166" t="s">
        <v>788</v>
      </c>
      <c r="O88" s="101">
        <f>0.5*O$27*$N$66*$P66+ 0.5*O$27*(1-$P66)</f>
        <v>3031250</v>
      </c>
      <c r="P88" s="101">
        <f>0.5*P$27*$N$67*$P66+ 0.5*P$27*(1-$P66)</f>
        <v>37750</v>
      </c>
      <c r="Q88" s="101">
        <f>0.5*Q$27*$N$68*$P66+ 0.5*Q$27*(1-$P66)</f>
        <v>4693.75</v>
      </c>
      <c r="R88" s="101">
        <f>0.5*R$27*$N$69*$P66+ 0.5*R$27*(1-$P66)</f>
        <v>495.625</v>
      </c>
    </row>
    <row r="89" spans="4:21" x14ac:dyDescent="0.3">
      <c r="I89" s="101">
        <f t="shared" ref="I89:L91" si="78">$I83*I$53</f>
        <v>53658.096125000004</v>
      </c>
      <c r="J89" s="101">
        <f t="shared" si="78"/>
        <v>5465.9942249999995</v>
      </c>
      <c r="K89" s="101">
        <f t="shared" si="78"/>
        <v>4130.4316337500004</v>
      </c>
      <c r="L89" s="101">
        <f t="shared" si="78"/>
        <v>4054.0462883750001</v>
      </c>
      <c r="M89" s="101"/>
      <c r="N89" s="166" t="s">
        <v>789</v>
      </c>
      <c r="O89" s="101">
        <f t="shared" ref="O89:O91" si="79">0.5*O$27*$N$66*$P67+ 0.5*O$27*(1-$P67)</f>
        <v>2885000.0000000005</v>
      </c>
      <c r="P89" s="101">
        <f t="shared" ref="P89:P91" si="80">0.5*P$27*$N$67*$P67+ 0.5*P$27*(1-$P67)</f>
        <v>36840</v>
      </c>
      <c r="Q89" s="101">
        <f t="shared" ref="Q89:Q91" si="81">0.5*Q$27*$N$68*$P67+ 0.5*Q$27*(1-$P67)</f>
        <v>4671</v>
      </c>
      <c r="R89" s="101">
        <f t="shared" ref="R89:R91" si="82">0.5*R$27*$N$69*$P67+ 0.5*R$27*(1-$P67)</f>
        <v>495.29999999999995</v>
      </c>
    </row>
    <row r="90" spans="4:21" s="166" customFormat="1" x14ac:dyDescent="0.3">
      <c r="I90" s="195">
        <f t="shared" si="78"/>
        <v>134145.24031250001</v>
      </c>
      <c r="J90" s="195">
        <f t="shared" si="78"/>
        <v>13664.9855625</v>
      </c>
      <c r="K90" s="195">
        <f t="shared" si="78"/>
        <v>10326.079084375002</v>
      </c>
      <c r="L90" s="195">
        <f t="shared" si="78"/>
        <v>10135.1157209375</v>
      </c>
      <c r="M90" s="195"/>
      <c r="N90" s="166" t="s">
        <v>790</v>
      </c>
      <c r="O90" s="101">
        <f t="shared" si="79"/>
        <v>2799950</v>
      </c>
      <c r="P90" s="101">
        <f t="shared" si="80"/>
        <v>36310.800000000003</v>
      </c>
      <c r="Q90" s="101">
        <f t="shared" si="81"/>
        <v>4657.7700000000004</v>
      </c>
      <c r="R90" s="101">
        <f t="shared" si="82"/>
        <v>495.11100000000005</v>
      </c>
    </row>
    <row r="91" spans="4:21" s="166" customFormat="1" x14ac:dyDescent="0.3">
      <c r="I91" s="232">
        <f t="shared" si="78"/>
        <v>536580.96125000005</v>
      </c>
      <c r="J91" s="232">
        <f t="shared" si="78"/>
        <v>54659.94225</v>
      </c>
      <c r="K91" s="232">
        <f t="shared" si="78"/>
        <v>41304.316337500008</v>
      </c>
      <c r="L91" s="232">
        <f t="shared" si="78"/>
        <v>40540.462883749999</v>
      </c>
      <c r="M91" s="217"/>
      <c r="N91" s="8" t="s">
        <v>790</v>
      </c>
      <c r="O91" s="170">
        <f t="shared" si="79"/>
        <v>2772239</v>
      </c>
      <c r="P91" s="170">
        <f t="shared" si="80"/>
        <v>36138.375999999997</v>
      </c>
      <c r="Q91" s="170">
        <f t="shared" si="81"/>
        <v>4653.4593999999997</v>
      </c>
      <c r="R91" s="170">
        <f t="shared" si="82"/>
        <v>495.04942</v>
      </c>
    </row>
    <row r="92" spans="4:21" s="166" customFormat="1" x14ac:dyDescent="0.3">
      <c r="M92" s="217"/>
      <c r="O92" s="101"/>
      <c r="P92" s="101"/>
      <c r="Q92" s="101"/>
      <c r="R92" s="101"/>
    </row>
    <row r="93" spans="4:21" s="166" customFormat="1" x14ac:dyDescent="0.3">
      <c r="I93" s="8" t="s">
        <v>966</v>
      </c>
      <c r="J93" s="8"/>
      <c r="K93" s="8"/>
      <c r="L93" s="8"/>
      <c r="M93" s="207"/>
      <c r="O93" s="101"/>
      <c r="P93" s="101"/>
      <c r="Q93" s="101"/>
      <c r="R93" s="101"/>
    </row>
    <row r="94" spans="4:21" s="166" customFormat="1" x14ac:dyDescent="0.3">
      <c r="I94" s="101">
        <f t="shared" ref="I94:L97" si="83">$K82*I$53</f>
        <v>3815.6868355555562</v>
      </c>
      <c r="J94" s="101">
        <f t="shared" si="83"/>
        <v>388.69292266666668</v>
      </c>
      <c r="K94" s="101">
        <f t="shared" si="83"/>
        <v>293.71958284444452</v>
      </c>
      <c r="L94" s="101">
        <f t="shared" si="83"/>
        <v>288.28773606222228</v>
      </c>
      <c r="M94" s="101"/>
      <c r="O94" s="101"/>
      <c r="P94" s="101"/>
      <c r="Q94" s="101"/>
      <c r="R94" s="101"/>
    </row>
    <row r="95" spans="4:21" s="166" customFormat="1" x14ac:dyDescent="0.3">
      <c r="I95" s="101">
        <f t="shared" si="83"/>
        <v>8585.2953800000014</v>
      </c>
      <c r="J95" s="101">
        <f t="shared" si="83"/>
        <v>874.559076</v>
      </c>
      <c r="K95" s="101">
        <f t="shared" si="83"/>
        <v>660.86906140000008</v>
      </c>
      <c r="L95" s="101">
        <f t="shared" si="83"/>
        <v>648.64740614000004</v>
      </c>
      <c r="M95" s="101"/>
      <c r="O95" s="101"/>
      <c r="P95" s="101"/>
      <c r="Q95" s="101"/>
      <c r="R95" s="101"/>
    </row>
    <row r="96" spans="4:21" s="166" customFormat="1" x14ac:dyDescent="0.3">
      <c r="I96" s="101">
        <f t="shared" si="83"/>
        <v>21463.238450000001</v>
      </c>
      <c r="J96" s="101">
        <f t="shared" si="83"/>
        <v>2186.3976899999998</v>
      </c>
      <c r="K96" s="101">
        <f t="shared" si="83"/>
        <v>1652.1726535000003</v>
      </c>
      <c r="L96" s="101">
        <f t="shared" si="83"/>
        <v>1621.6185153500001</v>
      </c>
      <c r="M96" s="101"/>
      <c r="O96" s="101"/>
      <c r="P96" s="101"/>
      <c r="Q96" s="101"/>
      <c r="R96" s="101"/>
    </row>
    <row r="97" spans="7:22" s="166" customFormat="1" x14ac:dyDescent="0.3">
      <c r="I97" s="101">
        <f t="shared" si="83"/>
        <v>85852.953800000003</v>
      </c>
      <c r="J97" s="101">
        <f t="shared" si="83"/>
        <v>8745.5907599999991</v>
      </c>
      <c r="K97" s="101">
        <f t="shared" si="83"/>
        <v>6608.690614000001</v>
      </c>
      <c r="L97" s="101">
        <f t="shared" si="83"/>
        <v>6486.4740614000002</v>
      </c>
      <c r="M97" s="217"/>
      <c r="N97" s="217" t="s">
        <v>992</v>
      </c>
      <c r="O97" s="101"/>
      <c r="P97" s="101"/>
      <c r="Q97" s="101"/>
      <c r="R97" s="101"/>
    </row>
    <row r="98" spans="7:22" s="166" customFormat="1" x14ac:dyDescent="0.3">
      <c r="G98" s="166" t="s">
        <v>967</v>
      </c>
      <c r="I98" s="184">
        <f>AVERAGE(I89, I90, I95, I96)</f>
        <v>54462.967566875006</v>
      </c>
      <c r="J98" s="184">
        <f t="shared" ref="J98:L98" si="84">AVERAGE(J89, J90, J95, J96)</f>
        <v>5547.9841383750008</v>
      </c>
      <c r="K98" s="184">
        <f t="shared" si="84"/>
        <v>4192.3881082562511</v>
      </c>
      <c r="L98" s="184">
        <f t="shared" si="84"/>
        <v>4114.8569827006249</v>
      </c>
      <c r="M98" s="184"/>
      <c r="N98" s="230" t="s">
        <v>804</v>
      </c>
      <c r="O98" s="231">
        <f>0.5*SUM(O$30:O$45)*$N$66*$P66+0.5*SUM(O$30:O$45)*(1-$P66)</f>
        <v>99485625</v>
      </c>
      <c r="P98" s="231">
        <f>0.5*SUM(P$30:P$45)*$N$67*$P66+0.5*SUM(P$30:P$45)*(1-$P66)</f>
        <v>13605100</v>
      </c>
      <c r="Q98" s="231">
        <f>0.5*SUM(Q$30:Q$45)*$N$68*$P66+0.5*SUM(Q$30:Q$45)*(1-$P66)</f>
        <v>1823991.25</v>
      </c>
      <c r="R98" s="231">
        <f>0.5*SUM(R$30:R$45)*$N$69*$P66+0.5*SUM(R$30:R$45)*(1-$P66)</f>
        <v>352686.75</v>
      </c>
    </row>
    <row r="99" spans="7:22" s="166" customFormat="1" x14ac:dyDescent="0.3">
      <c r="M99" s="217"/>
      <c r="N99" s="230" t="s">
        <v>804</v>
      </c>
      <c r="O99" s="231">
        <f t="shared" ref="O99:O101" si="85">0.5*SUM(O$30:O$45)*$N$66*$P67+0.5*SUM(O$30:O$45)*(1-$P67)</f>
        <v>94685700.000000015</v>
      </c>
      <c r="P99" s="231">
        <f t="shared" ref="P99:P101" si="86">0.5*SUM(P$30:P$45)*$N$67*$P67+0.5*SUM(P$30:P$45)*(1-$P67)</f>
        <v>13277136</v>
      </c>
      <c r="Q99" s="231">
        <f t="shared" ref="Q99:Q101" si="87">0.5*SUM(Q$30:Q$45)*$N$68*$P67+0.5*SUM(Q$30:Q$45)*(1-$P67)</f>
        <v>1815150.5999999999</v>
      </c>
      <c r="R99" s="231">
        <f t="shared" ref="R99:R101" si="88">0.5*SUM(R$30:R$45)*$N$69*$P67+0.5*SUM(R$30:R$45)*(1-$P67)</f>
        <v>352455.48</v>
      </c>
    </row>
    <row r="100" spans="7:22" s="166" customFormat="1" x14ac:dyDescent="0.3">
      <c r="I100" s="86" t="s">
        <v>862</v>
      </c>
      <c r="M100" s="217"/>
      <c r="N100" s="230" t="s">
        <v>805</v>
      </c>
      <c r="O100" s="231">
        <f t="shared" si="85"/>
        <v>91894359</v>
      </c>
      <c r="P100" s="231">
        <f t="shared" si="86"/>
        <v>13086412.32</v>
      </c>
      <c r="Q100" s="231">
        <f t="shared" si="87"/>
        <v>1810009.422</v>
      </c>
      <c r="R100" s="231">
        <f t="shared" si="88"/>
        <v>352320.98759999999</v>
      </c>
    </row>
    <row r="101" spans="7:22" s="166" customFormat="1" x14ac:dyDescent="0.3">
      <c r="G101" s="199" t="s">
        <v>848</v>
      </c>
      <c r="I101" s="202" t="s">
        <v>849</v>
      </c>
      <c r="J101" s="203" t="s">
        <v>850</v>
      </c>
      <c r="K101" s="203" t="s">
        <v>851</v>
      </c>
      <c r="L101" s="203" t="s">
        <v>852</v>
      </c>
      <c r="M101" s="226"/>
      <c r="N101" s="230" t="s">
        <v>806</v>
      </c>
      <c r="O101" s="231">
        <f t="shared" si="85"/>
        <v>90984883.980000004</v>
      </c>
      <c r="P101" s="231">
        <f t="shared" si="86"/>
        <v>13024270.7104</v>
      </c>
      <c r="Q101" s="231">
        <f t="shared" si="87"/>
        <v>1808334.32284</v>
      </c>
      <c r="R101" s="231">
        <f t="shared" si="88"/>
        <v>352277.16727200005</v>
      </c>
    </row>
    <row r="102" spans="7:22" s="166" customFormat="1" x14ac:dyDescent="0.3">
      <c r="G102" s="200" t="s">
        <v>782</v>
      </c>
      <c r="I102" s="201">
        <v>1.3888888888888889E-4</v>
      </c>
      <c r="J102" s="178">
        <v>8.333333333333332E-6</v>
      </c>
      <c r="K102" s="201">
        <v>2.2222222222222223E-5</v>
      </c>
      <c r="L102" s="201">
        <v>3.8888888888888887E-6</v>
      </c>
      <c r="M102" s="201"/>
      <c r="O102" s="101"/>
      <c r="P102" s="101"/>
      <c r="Q102" s="101"/>
      <c r="R102" s="101"/>
    </row>
    <row r="103" spans="7:22" s="166" customFormat="1" x14ac:dyDescent="0.3">
      <c r="G103" s="200" t="s">
        <v>44</v>
      </c>
      <c r="I103" s="201">
        <v>2.6388888888888892E-4</v>
      </c>
      <c r="J103" s="178">
        <v>1.5833333333333333E-5</v>
      </c>
      <c r="K103" s="178">
        <v>4.2222222222222222E-5</v>
      </c>
      <c r="L103" s="178">
        <v>7.3888888888888883E-6</v>
      </c>
      <c r="M103" s="217"/>
      <c r="O103" s="101"/>
      <c r="P103" s="101"/>
      <c r="Q103" s="101"/>
      <c r="R103" s="101"/>
      <c r="V103" s="166">
        <f>0.125*1000*1.015/8760</f>
        <v>1.4483447488584473E-2</v>
      </c>
    </row>
    <row r="104" spans="7:22" s="166" customFormat="1" x14ac:dyDescent="0.3">
      <c r="G104" s="200" t="s">
        <v>94</v>
      </c>
      <c r="I104" s="201">
        <v>5.6250000000000007E-4</v>
      </c>
      <c r="J104" s="178">
        <v>3.375E-5</v>
      </c>
      <c r="K104" s="178">
        <v>9.0000000000000006E-5</v>
      </c>
      <c r="L104" s="178">
        <v>1.575E-5</v>
      </c>
      <c r="M104" s="217"/>
      <c r="O104" s="101"/>
      <c r="P104" s="101"/>
      <c r="Q104" s="101"/>
      <c r="R104" s="101"/>
      <c r="V104" s="166">
        <f>0.918*1000*1.015/8760</f>
        <v>0.10636643835616437</v>
      </c>
    </row>
    <row r="105" spans="7:22" s="166" customFormat="1" x14ac:dyDescent="0.3">
      <c r="G105" s="145" t="s">
        <v>911</v>
      </c>
      <c r="I105" s="166">
        <v>1.25E-3</v>
      </c>
      <c r="J105" s="166">
        <v>7.4999999999999993E-5</v>
      </c>
      <c r="K105" s="166">
        <v>2.0000000000000001E-4</v>
      </c>
      <c r="L105" s="166">
        <v>3.4999999999999997E-5</v>
      </c>
      <c r="M105" s="217"/>
      <c r="O105" s="101"/>
      <c r="P105" s="101"/>
      <c r="Q105" s="101"/>
      <c r="R105" s="101"/>
    </row>
    <row r="106" spans="7:22" x14ac:dyDescent="0.3">
      <c r="I106" s="86" t="s">
        <v>861</v>
      </c>
      <c r="J106" s="178"/>
      <c r="K106" s="178"/>
      <c r="L106" s="178"/>
      <c r="O106" s="101"/>
      <c r="P106" s="101"/>
      <c r="Q106" s="101"/>
      <c r="R106" s="101"/>
    </row>
    <row r="107" spans="7:22" x14ac:dyDescent="0.3">
      <c r="I107" s="8" t="s">
        <v>854</v>
      </c>
      <c r="J107" s="8"/>
      <c r="K107" s="8"/>
      <c r="L107" s="8"/>
      <c r="M107" s="207"/>
      <c r="N107" s="166"/>
      <c r="O107" s="101"/>
      <c r="P107" s="101"/>
      <c r="Q107" s="101"/>
      <c r="R107" s="101"/>
    </row>
    <row r="108" spans="7:22" x14ac:dyDescent="0.3">
      <c r="I108" s="101">
        <f>$I102*I$53</f>
        <v>59620.106805555559</v>
      </c>
      <c r="J108" s="101">
        <f t="shared" ref="J108:L108" si="89">$I102*J$53</f>
        <v>6073.326916666666</v>
      </c>
      <c r="K108" s="101">
        <f t="shared" si="89"/>
        <v>4589.3684819444452</v>
      </c>
      <c r="L108" s="101">
        <f t="shared" si="89"/>
        <v>4504.4958759722222</v>
      </c>
      <c r="M108" s="101"/>
      <c r="N108" s="166"/>
      <c r="O108" s="101"/>
      <c r="P108" s="101"/>
      <c r="Q108" s="101"/>
      <c r="R108" s="101"/>
    </row>
    <row r="109" spans="7:22" x14ac:dyDescent="0.3">
      <c r="I109" s="101">
        <f t="shared" ref="I109:L109" si="90">$I103*I$53</f>
        <v>113278.20293055556</v>
      </c>
      <c r="J109" s="101">
        <f t="shared" si="90"/>
        <v>11539.321141666667</v>
      </c>
      <c r="K109" s="101">
        <f t="shared" si="90"/>
        <v>8719.8001156944465</v>
      </c>
      <c r="L109" s="101">
        <f t="shared" si="90"/>
        <v>8558.5421643472237</v>
      </c>
      <c r="M109" s="101"/>
      <c r="N109" s="166"/>
      <c r="O109" s="101"/>
      <c r="P109" s="101"/>
      <c r="Q109" s="101"/>
      <c r="R109" s="101"/>
    </row>
    <row r="110" spans="7:22" x14ac:dyDescent="0.3">
      <c r="I110" s="195">
        <f t="shared" ref="I110:L111" si="91">$I104*I$53</f>
        <v>241461.43256250003</v>
      </c>
      <c r="J110" s="195">
        <f t="shared" si="91"/>
        <v>24596.974012500003</v>
      </c>
      <c r="K110" s="195">
        <f t="shared" si="91"/>
        <v>18586.942351875005</v>
      </c>
      <c r="L110" s="195">
        <f t="shared" si="91"/>
        <v>18243.208297687503</v>
      </c>
      <c r="M110" s="195"/>
      <c r="N110" s="217" t="s">
        <v>990</v>
      </c>
      <c r="O110" s="101"/>
      <c r="P110" s="101"/>
      <c r="Q110" s="101"/>
      <c r="R110" s="101"/>
    </row>
    <row r="111" spans="7:22" x14ac:dyDescent="0.3">
      <c r="I111" s="232">
        <f t="shared" si="91"/>
        <v>536580.96125000005</v>
      </c>
      <c r="J111" s="232">
        <f t="shared" si="91"/>
        <v>54659.94225</v>
      </c>
      <c r="K111" s="232">
        <f t="shared" si="91"/>
        <v>41304.316337500008</v>
      </c>
      <c r="L111" s="232">
        <f t="shared" si="91"/>
        <v>40540.462883749999</v>
      </c>
      <c r="N111" s="217" t="s">
        <v>991</v>
      </c>
      <c r="O111" s="175">
        <f>O70+O74+O80+O84+O88+O98</f>
        <v>736920305.6080302</v>
      </c>
      <c r="P111" s="175">
        <f t="shared" ref="P111:R111" si="92">P70+P74+P80+P84+P88+P98</f>
        <v>23284279.5174248</v>
      </c>
      <c r="Q111" s="175">
        <f t="shared" si="92"/>
        <v>2483221.2219620803</v>
      </c>
      <c r="R111" s="175">
        <f t="shared" si="92"/>
        <v>400261.7234362</v>
      </c>
    </row>
    <row r="112" spans="7:22" x14ac:dyDescent="0.3">
      <c r="I112" s="8" t="s">
        <v>966</v>
      </c>
      <c r="J112" s="8"/>
      <c r="K112" s="8"/>
      <c r="L112" s="8"/>
      <c r="N112" t="s">
        <v>794</v>
      </c>
      <c r="O112" s="175">
        <f t="shared" ref="O112:R114" si="93">O71+O75+O81+O85+O89+O99</f>
        <v>679703464.33451605</v>
      </c>
      <c r="P112" s="175">
        <f t="shared" si="93"/>
        <v>22421481.1233152</v>
      </c>
      <c r="Q112" s="175">
        <f t="shared" si="93"/>
        <v>2445481.1628094399</v>
      </c>
      <c r="R112" s="175">
        <f t="shared" si="93"/>
        <v>398169.514364</v>
      </c>
    </row>
    <row r="113" spans="7:18" x14ac:dyDescent="0.3">
      <c r="I113" s="208">
        <f>$K102*I$53</f>
        <v>9539.2170888888886</v>
      </c>
      <c r="J113" s="208">
        <f t="shared" ref="J113:L113" si="94">$K102*J$53</f>
        <v>971.73230666666666</v>
      </c>
      <c r="K113" s="208">
        <f t="shared" si="94"/>
        <v>734.29895711111124</v>
      </c>
      <c r="L113" s="208">
        <f t="shared" si="94"/>
        <v>720.71934015555564</v>
      </c>
      <c r="M113" s="207"/>
      <c r="N113" t="s">
        <v>795</v>
      </c>
      <c r="O113" s="175">
        <f t="shared" si="93"/>
        <v>646429670.48622644</v>
      </c>
      <c r="P113" s="175">
        <f t="shared" si="93"/>
        <v>21919730.672586851</v>
      </c>
      <c r="Q113" s="175">
        <f t="shared" si="93"/>
        <v>2423533.8668714436</v>
      </c>
      <c r="R113" s="175">
        <f t="shared" si="93"/>
        <v>396952.81431893597</v>
      </c>
    </row>
    <row r="114" spans="7:18" x14ac:dyDescent="0.3">
      <c r="I114" s="208">
        <f t="shared" ref="I114:L116" si="95">$K103*I$53</f>
        <v>18124.51246888889</v>
      </c>
      <c r="J114" s="208">
        <f t="shared" si="95"/>
        <v>1846.2913826666665</v>
      </c>
      <c r="K114" s="208">
        <f t="shared" si="95"/>
        <v>1395.1680185111113</v>
      </c>
      <c r="L114" s="208">
        <f t="shared" si="95"/>
        <v>1369.3667462955555</v>
      </c>
      <c r="M114" s="101"/>
      <c r="N114" t="s">
        <v>796</v>
      </c>
      <c r="O114" s="175">
        <f t="shared" si="93"/>
        <v>635588399.45354033</v>
      </c>
      <c r="P114" s="175">
        <f t="shared" si="93"/>
        <v>21756250.287635252</v>
      </c>
      <c r="Q114" s="175">
        <f t="shared" si="93"/>
        <v>2416382.9965864602</v>
      </c>
      <c r="R114" s="175">
        <f t="shared" si="93"/>
        <v>396556.38898150198</v>
      </c>
    </row>
    <row r="115" spans="7:18" x14ac:dyDescent="0.3">
      <c r="I115" s="208">
        <f t="shared" si="95"/>
        <v>38633.829210000004</v>
      </c>
      <c r="J115" s="208">
        <f t="shared" si="95"/>
        <v>3935.5158419999998</v>
      </c>
      <c r="K115" s="208">
        <f t="shared" si="95"/>
        <v>2973.9107763000006</v>
      </c>
      <c r="L115" s="208">
        <f t="shared" si="95"/>
        <v>2918.9133276300004</v>
      </c>
      <c r="M115" s="101"/>
      <c r="O115" s="101"/>
      <c r="P115" s="101"/>
      <c r="Q115" s="101"/>
      <c r="R115" s="101"/>
    </row>
    <row r="116" spans="7:18" x14ac:dyDescent="0.3">
      <c r="I116" s="208">
        <f t="shared" si="95"/>
        <v>85852.953800000003</v>
      </c>
      <c r="J116" s="208">
        <f t="shared" si="95"/>
        <v>8745.5907599999991</v>
      </c>
      <c r="K116" s="208">
        <f t="shared" si="95"/>
        <v>6608.690614000001</v>
      </c>
      <c r="L116" s="208">
        <f t="shared" si="95"/>
        <v>6486.4740614000002</v>
      </c>
      <c r="M116" s="101"/>
      <c r="N116" s="217" t="s">
        <v>843</v>
      </c>
      <c r="O116" s="101"/>
      <c r="P116" s="101"/>
      <c r="Q116" s="101"/>
      <c r="R116" s="101"/>
    </row>
    <row r="117" spans="7:18" x14ac:dyDescent="0.3">
      <c r="G117" t="s">
        <v>967</v>
      </c>
      <c r="I117" s="184">
        <f>AVERAGE(I109, I110, I115, I116)</f>
        <v>119806.6046257639</v>
      </c>
      <c r="J117" s="184">
        <f t="shared" ref="J117:L117" si="96">AVERAGE(J109, J110, J115, J116)</f>
        <v>12204.350439041667</v>
      </c>
      <c r="K117" s="184">
        <f t="shared" si="96"/>
        <v>9222.3359644673619</v>
      </c>
      <c r="L117" s="184">
        <f t="shared" si="96"/>
        <v>9051.7844627661816</v>
      </c>
      <c r="M117" s="184"/>
      <c r="N117" s="217" t="s">
        <v>993</v>
      </c>
      <c r="O117" s="190">
        <f>O$14-O70</f>
        <v>137462062.49999997</v>
      </c>
      <c r="P117" s="190">
        <f t="shared" ref="P117:R118" si="97">P$14-P70</f>
        <v>1583925</v>
      </c>
      <c r="Q117" s="190">
        <f t="shared" si="97"/>
        <v>11879.4375</v>
      </c>
      <c r="R117" s="190">
        <f t="shared" si="97"/>
        <v>113.13749999999891</v>
      </c>
    </row>
    <row r="118" spans="7:18" x14ac:dyDescent="0.3">
      <c r="K118" s="101"/>
      <c r="L118" s="101"/>
      <c r="M118" s="101"/>
      <c r="N118" s="168" t="s">
        <v>783</v>
      </c>
      <c r="O118" s="190">
        <f>O$14-O71</f>
        <v>147673529.99999994</v>
      </c>
      <c r="P118" s="190">
        <f t="shared" si="97"/>
        <v>1701588</v>
      </c>
      <c r="Q118" s="190">
        <f t="shared" si="97"/>
        <v>12761.910000000003</v>
      </c>
      <c r="R118" s="190">
        <f t="shared" si="97"/>
        <v>121.54199999999946</v>
      </c>
    </row>
    <row r="119" spans="7:18" x14ac:dyDescent="0.3">
      <c r="K119" s="101">
        <f>O14</f>
        <v>349110000</v>
      </c>
      <c r="L119" s="101">
        <f>O71+O118</f>
        <v>349110000</v>
      </c>
      <c r="N119" s="168" t="s">
        <v>784</v>
      </c>
      <c r="O119" s="190">
        <f t="shared" ref="O119:R120" si="98">O$14-O72</f>
        <v>153611891.09999996</v>
      </c>
      <c r="P119" s="190">
        <f t="shared" si="98"/>
        <v>1770013.5599999996</v>
      </c>
      <c r="Q119" s="190">
        <f t="shared" si="98"/>
        <v>13275.101699999999</v>
      </c>
      <c r="R119" s="190">
        <f t="shared" si="98"/>
        <v>126.42953999999918</v>
      </c>
    </row>
    <row r="120" spans="7:18" x14ac:dyDescent="0.3">
      <c r="N120" s="8" t="s">
        <v>785</v>
      </c>
      <c r="O120" s="228">
        <f t="shared" si="98"/>
        <v>155546728.54199997</v>
      </c>
      <c r="P120" s="228">
        <f t="shared" si="98"/>
        <v>1792307.9832000006</v>
      </c>
      <c r="Q120" s="228">
        <f t="shared" si="98"/>
        <v>13442.309873999999</v>
      </c>
      <c r="R120" s="228">
        <f t="shared" si="98"/>
        <v>128.02199879999898</v>
      </c>
    </row>
    <row r="121" spans="7:18" x14ac:dyDescent="0.3">
      <c r="N121" s="217" t="s">
        <v>981</v>
      </c>
      <c r="O121" s="190">
        <f t="shared" ref="O121:R123" si="99">O$20-O74</f>
        <v>819963015.25817013</v>
      </c>
      <c r="P121" s="190">
        <f t="shared" si="99"/>
        <v>5719131.0882552005</v>
      </c>
      <c r="Q121" s="190">
        <f t="shared" si="99"/>
        <v>347726.98609992012</v>
      </c>
      <c r="R121" s="190">
        <f t="shared" si="99"/>
        <v>20101.795198799999</v>
      </c>
    </row>
    <row r="122" spans="7:18" x14ac:dyDescent="0.3">
      <c r="K122" s="101">
        <f>0.5*O20</f>
        <v>618840011.51560009</v>
      </c>
      <c r="L122" s="101">
        <f>O122+O75</f>
        <v>1237680023.0312002</v>
      </c>
      <c r="M122" s="101"/>
      <c r="N122" s="217" t="s">
        <v>982</v>
      </c>
      <c r="O122" s="190">
        <f t="shared" si="99"/>
        <v>860187616.00668406</v>
      </c>
      <c r="P122" s="190">
        <f t="shared" si="99"/>
        <v>6040986.9503648002</v>
      </c>
      <c r="Q122" s="190">
        <f t="shared" si="99"/>
        <v>371644.71530256013</v>
      </c>
      <c r="R122" s="190">
        <f t="shared" si="99"/>
        <v>21578.198235999997</v>
      </c>
    </row>
    <row r="123" spans="7:18" x14ac:dyDescent="0.3">
      <c r="N123" s="217" t="s">
        <v>983</v>
      </c>
      <c r="O123" s="190">
        <f t="shared" si="99"/>
        <v>883579768.44197369</v>
      </c>
      <c r="P123" s="190">
        <f t="shared" si="99"/>
        <v>6228158.5132531533</v>
      </c>
      <c r="Q123" s="190">
        <f t="shared" si="99"/>
        <v>385553.79474655696</v>
      </c>
      <c r="R123" s="190">
        <f t="shared" si="99"/>
        <v>22436.783386863997</v>
      </c>
    </row>
    <row r="124" spans="7:18" x14ac:dyDescent="0.3">
      <c r="N124" s="217" t="s">
        <v>984</v>
      </c>
      <c r="O124" s="190">
        <f>O$20-O77</f>
        <v>891201402.0237999</v>
      </c>
      <c r="P124" s="190">
        <f>P$20-P77</f>
        <v>6289142.7716799509</v>
      </c>
      <c r="Q124" s="190">
        <f>Q$20-Q77</f>
        <v>390085.65248286026</v>
      </c>
      <c r="R124" s="190">
        <f>R$20-R77</f>
        <v>22716.52769157408</v>
      </c>
    </row>
    <row r="125" spans="7:18" x14ac:dyDescent="0.3">
      <c r="N125" s="168"/>
      <c r="O125" s="101"/>
      <c r="P125" s="101"/>
      <c r="Q125" s="101"/>
      <c r="R125" s="101"/>
    </row>
    <row r="126" spans="7:18" x14ac:dyDescent="0.3">
      <c r="K126" s="192">
        <f>0.5*O20</f>
        <v>618840011.51560009</v>
      </c>
      <c r="L126" s="101">
        <f>O126</f>
        <v>0</v>
      </c>
      <c r="M126" s="101"/>
      <c r="N126" s="168"/>
      <c r="O126" s="101"/>
      <c r="P126" s="101"/>
      <c r="Q126" s="101"/>
      <c r="R126" s="101"/>
    </row>
    <row r="127" spans="7:18" x14ac:dyDescent="0.3">
      <c r="N127" s="168" t="s">
        <v>996</v>
      </c>
      <c r="O127" s="101"/>
      <c r="P127" s="101"/>
      <c r="Q127" s="101"/>
      <c r="R127" s="101"/>
    </row>
    <row r="128" spans="7:18" x14ac:dyDescent="0.3">
      <c r="K128" s="101">
        <f>O23</f>
        <v>5000000</v>
      </c>
      <c r="L128" s="101">
        <f>O128</f>
        <v>31651564.664999999</v>
      </c>
      <c r="M128" s="101"/>
      <c r="N128" s="168" t="s">
        <v>997</v>
      </c>
      <c r="O128" s="190">
        <f>SUM(O$23:O$27)-SUM(O80, O84, O88)</f>
        <v>31651564.664999999</v>
      </c>
      <c r="P128" s="190">
        <f>SUM(P$23:P$27)-SUM(P80, P84, P88)</f>
        <v>1330281.69</v>
      </c>
      <c r="Q128" s="190">
        <f>SUM(Q$23:Q$27)-SUM(Q80, Q84, Q88)</f>
        <v>59682.733749999985</v>
      </c>
      <c r="R128" s="190">
        <f>SUM(R$23:R$27)-SUM(R80, R84, R88)</f>
        <v>5431.779625000001</v>
      </c>
    </row>
    <row r="129" spans="11:18" x14ac:dyDescent="0.3">
      <c r="K129" s="101">
        <f t="shared" ref="K129:K131" si="100">O24</f>
        <v>2000000</v>
      </c>
      <c r="L129" s="101">
        <f t="shared" ref="L129:L130" si="101">O129</f>
        <v>33632412.689999998</v>
      </c>
      <c r="M129" s="101"/>
      <c r="N129" s="217" t="s">
        <v>997</v>
      </c>
      <c r="O129" s="190">
        <f t="shared" ref="O129:R131" si="102">SUM(O$23:O$27)-SUM(O81, O85, O89)</f>
        <v>33632412.689999998</v>
      </c>
      <c r="P129" s="190">
        <f t="shared" si="102"/>
        <v>1425597.2219999998</v>
      </c>
      <c r="Q129" s="190">
        <f t="shared" si="102"/>
        <v>63781.941199999972</v>
      </c>
      <c r="R129" s="190">
        <f t="shared" si="102"/>
        <v>5807.9111600000015</v>
      </c>
    </row>
    <row r="130" spans="11:18" x14ac:dyDescent="0.3">
      <c r="K130" s="101">
        <f t="shared" si="100"/>
        <v>20000000</v>
      </c>
      <c r="L130" s="101">
        <f t="shared" si="101"/>
        <v>34784352.002999999</v>
      </c>
      <c r="M130" s="101"/>
      <c r="N130" s="217" t="s">
        <v>997</v>
      </c>
      <c r="O130" s="190">
        <f t="shared" si="102"/>
        <v>34784352.002999999</v>
      </c>
      <c r="P130" s="190">
        <f t="shared" si="102"/>
        <v>1481026.8698400001</v>
      </c>
      <c r="Q130" s="190">
        <f t="shared" si="102"/>
        <v>66165.787993999984</v>
      </c>
      <c r="R130" s="190">
        <f t="shared" si="102"/>
        <v>6026.6461142000007</v>
      </c>
    </row>
    <row r="131" spans="11:18" x14ac:dyDescent="0.3">
      <c r="K131" s="101">
        <f t="shared" si="100"/>
        <v>2721300</v>
      </c>
      <c r="L131" s="101">
        <f>O84+O131</f>
        <v>36823162.326860003</v>
      </c>
      <c r="M131" s="101"/>
      <c r="N131" s="217" t="s">
        <v>997</v>
      </c>
      <c r="O131" s="190">
        <f t="shared" si="102"/>
        <v>35159676.991860002</v>
      </c>
      <c r="P131" s="190">
        <f t="shared" si="102"/>
        <v>1499086.9635648001</v>
      </c>
      <c r="Q131" s="190">
        <f t="shared" si="102"/>
        <v>66942.493208679982</v>
      </c>
      <c r="R131" s="190">
        <f t="shared" si="102"/>
        <v>6097.914360124003</v>
      </c>
    </row>
    <row r="132" spans="11:18" x14ac:dyDescent="0.3">
      <c r="N132" s="168"/>
      <c r="O132" s="190"/>
      <c r="P132" s="190"/>
      <c r="Q132" s="190"/>
      <c r="R132" s="190"/>
    </row>
    <row r="133" spans="11:18" x14ac:dyDescent="0.3">
      <c r="N133" s="168"/>
      <c r="O133" s="190"/>
      <c r="P133" s="190"/>
      <c r="Q133" s="190"/>
      <c r="R133" s="190"/>
    </row>
    <row r="134" spans="11:18" x14ac:dyDescent="0.3">
      <c r="N134" s="168"/>
    </row>
    <row r="135" spans="11:18" x14ac:dyDescent="0.3">
      <c r="K135" s="101">
        <f>O27</f>
        <v>10000000</v>
      </c>
      <c r="L135" s="101">
        <f>O88+O135</f>
        <v>3031250</v>
      </c>
      <c r="M135" s="101"/>
      <c r="N135" s="168"/>
      <c r="O135" s="190"/>
      <c r="P135" s="190"/>
      <c r="Q135" s="190"/>
      <c r="R135" s="190"/>
    </row>
    <row r="136" spans="11:18" x14ac:dyDescent="0.3">
      <c r="N136" s="168"/>
      <c r="O136" s="190"/>
      <c r="P136" s="190"/>
      <c r="Q136" s="190"/>
      <c r="R136" s="190"/>
    </row>
    <row r="137" spans="11:18" x14ac:dyDescent="0.3">
      <c r="N137" s="168"/>
      <c r="O137" s="190"/>
      <c r="P137" s="190"/>
      <c r="Q137" s="190"/>
      <c r="R137" s="190"/>
    </row>
    <row r="138" spans="11:18" x14ac:dyDescent="0.3">
      <c r="N138" s="217" t="s">
        <v>995</v>
      </c>
      <c r="O138" s="190">
        <f t="shared" ref="O138:R140" si="103">SUM(O$30:O$45)-O98</f>
        <v>228714375</v>
      </c>
      <c r="P138" s="190">
        <f t="shared" si="103"/>
        <v>22434900</v>
      </c>
      <c r="Q138" s="190">
        <f t="shared" si="103"/>
        <v>2062008.75</v>
      </c>
      <c r="R138" s="190">
        <f t="shared" si="103"/>
        <v>358913.25</v>
      </c>
    </row>
    <row r="139" spans="11:18" x14ac:dyDescent="0.3">
      <c r="K139" s="101">
        <f>SUM(O30:O45)</f>
        <v>328200000</v>
      </c>
      <c r="L139" s="101">
        <f>O106+O139</f>
        <v>233514300</v>
      </c>
      <c r="M139" s="101"/>
      <c r="N139" s="168" t="s">
        <v>791</v>
      </c>
      <c r="O139" s="190">
        <f t="shared" si="103"/>
        <v>233514300</v>
      </c>
      <c r="P139" s="190">
        <f t="shared" si="103"/>
        <v>22762864</v>
      </c>
      <c r="Q139" s="190">
        <f t="shared" si="103"/>
        <v>2070849.4000000001</v>
      </c>
      <c r="R139" s="190">
        <f t="shared" si="103"/>
        <v>359144.52</v>
      </c>
    </row>
    <row r="140" spans="11:18" x14ac:dyDescent="0.3">
      <c r="N140" s="168" t="s">
        <v>792</v>
      </c>
      <c r="O140" s="190">
        <f t="shared" si="103"/>
        <v>236305641</v>
      </c>
      <c r="P140" s="190">
        <f t="shared" si="103"/>
        <v>22953587.68</v>
      </c>
      <c r="Q140" s="190">
        <f t="shared" si="103"/>
        <v>2075990.578</v>
      </c>
      <c r="R140" s="190">
        <f t="shared" si="103"/>
        <v>359279.01240000001</v>
      </c>
    </row>
    <row r="141" spans="11:18" x14ac:dyDescent="0.3">
      <c r="N141" s="168" t="s">
        <v>793</v>
      </c>
      <c r="O141" s="190">
        <f>SUM(O$30:O$45)-O101</f>
        <v>237215116.01999998</v>
      </c>
      <c r="P141" s="190">
        <f t="shared" ref="P141:R141" si="104">SUM(P$30:P$45)-P101</f>
        <v>23015729.2896</v>
      </c>
      <c r="Q141" s="190">
        <f t="shared" si="104"/>
        <v>2077665.67716</v>
      </c>
      <c r="R141" s="190">
        <f t="shared" si="104"/>
        <v>359322.83272799995</v>
      </c>
    </row>
    <row r="142" spans="11:18" x14ac:dyDescent="0.3">
      <c r="N142" s="174" t="s">
        <v>844</v>
      </c>
      <c r="O142" s="186"/>
      <c r="P142" s="186"/>
      <c r="Q142" s="186"/>
      <c r="R142" s="186"/>
    </row>
    <row r="143" spans="11:18" x14ac:dyDescent="0.3">
      <c r="N143" s="186" t="s">
        <v>994</v>
      </c>
      <c r="O143" s="175">
        <f t="shared" ref="O143:R145" si="105">O117+O121+O128+O138</f>
        <v>1217791017.4231701</v>
      </c>
      <c r="P143" s="175">
        <f t="shared" si="105"/>
        <v>31068237.778255202</v>
      </c>
      <c r="Q143" s="175">
        <f t="shared" si="105"/>
        <v>2481297.9073499199</v>
      </c>
      <c r="R143" s="175">
        <f t="shared" si="105"/>
        <v>384559.96232380002</v>
      </c>
    </row>
    <row r="144" spans="11:18" x14ac:dyDescent="0.3">
      <c r="L144" s="66">
        <f>O144+O112</f>
        <v>1954711323.0312002</v>
      </c>
      <c r="M144" s="66"/>
      <c r="N144" s="186" t="s">
        <v>807</v>
      </c>
      <c r="O144" s="175">
        <f t="shared" si="105"/>
        <v>1275007858.6966841</v>
      </c>
      <c r="P144" s="175">
        <f t="shared" si="105"/>
        <v>31931036.172364801</v>
      </c>
      <c r="Q144" s="175">
        <f t="shared" si="105"/>
        <v>2519037.9665025603</v>
      </c>
      <c r="R144" s="175">
        <f t="shared" si="105"/>
        <v>386652.17139600002</v>
      </c>
    </row>
    <row r="145" spans="9:18" x14ac:dyDescent="0.3">
      <c r="L145" s="66">
        <f t="shared" ref="L145:L146" si="106">O145+O113</f>
        <v>1954711323.0311999</v>
      </c>
      <c r="M145" s="66"/>
      <c r="N145" s="186" t="s">
        <v>808</v>
      </c>
      <c r="O145" s="175">
        <f t="shared" si="105"/>
        <v>1308281652.5449736</v>
      </c>
      <c r="P145" s="175">
        <f t="shared" si="105"/>
        <v>32432786.623093151</v>
      </c>
      <c r="Q145" s="175">
        <f t="shared" si="105"/>
        <v>2540985.2624405567</v>
      </c>
      <c r="R145" s="175">
        <f t="shared" si="105"/>
        <v>387868.871441064</v>
      </c>
    </row>
    <row r="146" spans="9:18" x14ac:dyDescent="0.3">
      <c r="L146" s="66">
        <f t="shared" si="106"/>
        <v>1954711323.0312002</v>
      </c>
      <c r="M146" s="66"/>
      <c r="N146" s="186" t="s">
        <v>809</v>
      </c>
      <c r="O146" s="175">
        <f>O120+O124+O131+O141</f>
        <v>1319122923.5776598</v>
      </c>
      <c r="P146" s="175">
        <f t="shared" ref="P146:R146" si="107">P120+P124+P131+P141</f>
        <v>32596267.008044749</v>
      </c>
      <c r="Q146" s="175">
        <f t="shared" si="107"/>
        <v>2548136.1327255401</v>
      </c>
      <c r="R146" s="175">
        <f t="shared" si="107"/>
        <v>388265.29677849804</v>
      </c>
    </row>
    <row r="147" spans="9:18" x14ac:dyDescent="0.3">
      <c r="M147" s="5" t="s">
        <v>845</v>
      </c>
      <c r="N147" s="217" t="s">
        <v>994</v>
      </c>
      <c r="O147" s="191">
        <f>(O117+O121)/O143</f>
        <v>0.78619817691221694</v>
      </c>
      <c r="P147" s="191">
        <f t="shared" ref="P147:R147" si="108">(P117+P121)/P143</f>
        <v>0.23506502494218201</v>
      </c>
      <c r="Q147" s="191">
        <f t="shared" si="108"/>
        <v>0.14492674278840931</v>
      </c>
      <c r="R147" s="191">
        <f t="shared" si="108"/>
        <v>5.2566399727746474E-2</v>
      </c>
    </row>
    <row r="148" spans="9:18" x14ac:dyDescent="0.3">
      <c r="N148" s="168" t="s">
        <v>807</v>
      </c>
      <c r="O148" s="191">
        <f>(O118+O122)/O144</f>
        <v>0.79047445796680971</v>
      </c>
      <c r="P148" s="191">
        <f t="shared" ref="P148:R148" si="109">(P118+P122)/P144</f>
        <v>0.24247803637095025</v>
      </c>
      <c r="Q148" s="191">
        <f t="shared" si="109"/>
        <v>0.15260056831786123</v>
      </c>
      <c r="R148" s="191">
        <f t="shared" si="109"/>
        <v>5.6122121744857957E-2</v>
      </c>
    </row>
    <row r="149" spans="9:18" x14ac:dyDescent="0.3">
      <c r="N149" s="168" t="s">
        <v>808</v>
      </c>
      <c r="O149" s="191">
        <f t="shared" ref="O149:R150" si="110">(O119+O123)/O145</f>
        <v>0.79278927249674858</v>
      </c>
      <c r="P149" s="191">
        <f t="shared" si="110"/>
        <v>0.24660761242014911</v>
      </c>
      <c r="Q149" s="191">
        <f t="shared" si="110"/>
        <v>0.15695836663904583</v>
      </c>
      <c r="R149" s="191">
        <f t="shared" si="110"/>
        <v>5.8172270548636794E-2</v>
      </c>
    </row>
    <row r="150" spans="9:18" x14ac:dyDescent="0.3">
      <c r="N150" s="168" t="s">
        <v>809</v>
      </c>
      <c r="O150" s="191">
        <f t="shared" si="110"/>
        <v>0.7935182626702153</v>
      </c>
      <c r="P150" s="191">
        <f t="shared" si="110"/>
        <v>0.2479256521271424</v>
      </c>
      <c r="Q150" s="191">
        <f t="shared" si="110"/>
        <v>0.15836201103009293</v>
      </c>
      <c r="R150" s="191">
        <f t="shared" si="110"/>
        <v>5.8837474994337939E-2</v>
      </c>
    </row>
    <row r="151" spans="9:18" x14ac:dyDescent="0.3">
      <c r="M151" s="5" t="s">
        <v>846</v>
      </c>
      <c r="N151" s="217" t="s">
        <v>994</v>
      </c>
      <c r="O151" s="191">
        <f t="shared" ref="O151:R153" si="111">(O128)/O143</f>
        <v>2.5990965783254254E-2</v>
      </c>
      <c r="P151" s="191">
        <f t="shared" si="111"/>
        <v>4.281806066680325E-2</v>
      </c>
      <c r="Q151" s="191">
        <f t="shared" si="111"/>
        <v>2.4053030300477882E-2</v>
      </c>
      <c r="R151" s="191">
        <f t="shared" si="111"/>
        <v>1.4124662360005213E-2</v>
      </c>
    </row>
    <row r="152" spans="9:18" x14ac:dyDescent="0.3">
      <c r="N152" s="168" t="s">
        <v>807</v>
      </c>
      <c r="O152" s="191">
        <f t="shared" si="111"/>
        <v>2.6378200307235068E-2</v>
      </c>
      <c r="P152" s="191">
        <f t="shared" si="111"/>
        <v>4.4646130939960053E-2</v>
      </c>
      <c r="Q152" s="191">
        <f t="shared" si="111"/>
        <v>2.5319960257905522E-2</v>
      </c>
      <c r="R152" s="191">
        <f t="shared" si="111"/>
        <v>1.5021023001191621E-2</v>
      </c>
    </row>
    <row r="153" spans="9:18" x14ac:dyDescent="0.3">
      <c r="N153" s="168" t="s">
        <v>808</v>
      </c>
      <c r="O153" s="191">
        <f t="shared" si="111"/>
        <v>2.6587816113857982E-2</v>
      </c>
      <c r="P153" s="191">
        <f t="shared" si="111"/>
        <v>4.5664496456973049E-2</v>
      </c>
      <c r="Q153" s="191">
        <f t="shared" si="111"/>
        <v>2.6039422176911527E-2</v>
      </c>
      <c r="R153" s="191">
        <f t="shared" si="111"/>
        <v>1.5537844250839138E-2</v>
      </c>
    </row>
    <row r="154" spans="9:18" x14ac:dyDescent="0.3">
      <c r="N154" s="168" t="s">
        <v>809</v>
      </c>
      <c r="O154" s="191">
        <f>(O131)/O146</f>
        <v>2.6653829118897934E-2</v>
      </c>
      <c r="P154" s="191">
        <f t="shared" ref="P154:R154" si="112">(P131)/P146</f>
        <v>4.5989528898963364E-2</v>
      </c>
      <c r="Q154" s="191">
        <f t="shared" si="112"/>
        <v>2.6271160456830412E-2</v>
      </c>
      <c r="R154" s="191">
        <f t="shared" si="112"/>
        <v>1.5705535392216138E-2</v>
      </c>
    </row>
    <row r="155" spans="9:18" x14ac:dyDescent="0.3">
      <c r="M155" s="5" t="s">
        <v>847</v>
      </c>
      <c r="N155" s="217" t="s">
        <v>994</v>
      </c>
      <c r="O155" s="191">
        <f t="shared" ref="O155:R155" si="113">O138/O143</f>
        <v>0.18781085730452884</v>
      </c>
      <c r="P155" s="191">
        <f t="shared" si="113"/>
        <v>0.72211691439101466</v>
      </c>
      <c r="Q155" s="191">
        <f t="shared" si="113"/>
        <v>0.83102022691111288</v>
      </c>
      <c r="R155" s="191">
        <f t="shared" si="113"/>
        <v>0.93330893791224823</v>
      </c>
    </row>
    <row r="156" spans="9:18" x14ac:dyDescent="0.3">
      <c r="N156" s="168" t="s">
        <v>807</v>
      </c>
      <c r="O156" s="191">
        <f t="shared" ref="O156:R156" si="114">O139/O144</f>
        <v>0.1831473417259552</v>
      </c>
      <c r="P156" s="191">
        <f t="shared" si="114"/>
        <v>0.71287583268908972</v>
      </c>
      <c r="Q156" s="191">
        <f t="shared" si="114"/>
        <v>0.82207947142423321</v>
      </c>
      <c r="R156" s="191">
        <f t="shared" si="114"/>
        <v>0.92885685525395045</v>
      </c>
    </row>
    <row r="157" spans="9:18" x14ac:dyDescent="0.3">
      <c r="N157" s="168" t="s">
        <v>808</v>
      </c>
      <c r="O157" s="191">
        <f t="shared" ref="O157:R157" si="115">O140/O145</f>
        <v>0.18062291138939346</v>
      </c>
      <c r="P157" s="191">
        <f t="shared" si="115"/>
        <v>0.70772789112287793</v>
      </c>
      <c r="Q157" s="191">
        <f t="shared" si="115"/>
        <v>0.8170022111840427</v>
      </c>
      <c r="R157" s="191">
        <f t="shared" si="115"/>
        <v>0.92628988520052413</v>
      </c>
    </row>
    <row r="158" spans="9:18" x14ac:dyDescent="0.3">
      <c r="I158" t="s">
        <v>960</v>
      </c>
      <c r="K158" s="166" t="s">
        <v>35</v>
      </c>
      <c r="N158" s="168" t="s">
        <v>809</v>
      </c>
      <c r="O158" s="191">
        <f t="shared" ref="O158" si="116">O141/O146</f>
        <v>0.17982790821088673</v>
      </c>
      <c r="P158" s="191">
        <f t="shared" ref="P158:R158" si="117">P141/P146</f>
        <v>0.7060848189738943</v>
      </c>
      <c r="Q158" s="191">
        <f t="shared" si="117"/>
        <v>0.81536682851307674</v>
      </c>
      <c r="R158" s="191">
        <f t="shared" si="117"/>
        <v>0.92545698961344591</v>
      </c>
    </row>
    <row r="159" spans="9:18" x14ac:dyDescent="0.3">
      <c r="J159" s="166" t="s">
        <v>897</v>
      </c>
      <c r="K159" s="166" t="s">
        <v>36</v>
      </c>
      <c r="L159" s="166" t="s">
        <v>961</v>
      </c>
    </row>
    <row r="160" spans="9:18" x14ac:dyDescent="0.3">
      <c r="I160" t="s">
        <v>28</v>
      </c>
      <c r="J160" s="166">
        <v>0.67500000000000004</v>
      </c>
      <c r="K160" s="166">
        <v>1E-3</v>
      </c>
      <c r="L160" s="166">
        <f>J160*K160</f>
        <v>6.7500000000000004E-4</v>
      </c>
      <c r="O160" s="1">
        <f>O147+O151+O155</f>
        <v>1</v>
      </c>
      <c r="P160" s="1">
        <f t="shared" ref="P160:R160" si="118">P147+P151+P155</f>
        <v>1</v>
      </c>
      <c r="Q160" s="1">
        <f t="shared" si="118"/>
        <v>1</v>
      </c>
      <c r="R160" s="1">
        <f t="shared" si="118"/>
        <v>0.99999999999999989</v>
      </c>
    </row>
    <row r="161" spans="9:18" x14ac:dyDescent="0.3">
      <c r="I161" t="s">
        <v>9</v>
      </c>
      <c r="J161" s="166">
        <v>0.13100000000000001</v>
      </c>
      <c r="K161" s="166">
        <v>2.9000000000000001E-2</v>
      </c>
      <c r="L161" s="214">
        <f t="shared" ref="L161:L166" si="119">J161*K161</f>
        <v>3.7990000000000003E-3</v>
      </c>
      <c r="O161" s="1">
        <f t="shared" ref="O161:R163" si="120">O148+O152+O156</f>
        <v>1</v>
      </c>
      <c r="P161" s="1">
        <f t="shared" si="120"/>
        <v>1</v>
      </c>
      <c r="Q161" s="1">
        <f t="shared" si="120"/>
        <v>1</v>
      </c>
      <c r="R161" s="1">
        <f t="shared" si="120"/>
        <v>1</v>
      </c>
    </row>
    <row r="162" spans="9:18" x14ac:dyDescent="0.3">
      <c r="I162" t="s">
        <v>8</v>
      </c>
      <c r="J162" s="166">
        <v>0.06</v>
      </c>
      <c r="K162" s="166">
        <v>0.45100000000000001</v>
      </c>
      <c r="L162" s="214">
        <f t="shared" si="119"/>
        <v>2.7060000000000001E-2</v>
      </c>
      <c r="O162" s="1">
        <f t="shared" si="120"/>
        <v>1</v>
      </c>
      <c r="P162" s="1">
        <f t="shared" si="120"/>
        <v>1</v>
      </c>
      <c r="Q162" s="1">
        <f t="shared" si="120"/>
        <v>1</v>
      </c>
      <c r="R162" s="1">
        <f t="shared" si="120"/>
        <v>1</v>
      </c>
    </row>
    <row r="163" spans="9:18" x14ac:dyDescent="0.3">
      <c r="I163" t="s">
        <v>7</v>
      </c>
      <c r="J163" s="166">
        <v>4.2999999999999997E-2</v>
      </c>
      <c r="K163" s="166">
        <v>1.008</v>
      </c>
      <c r="L163" s="214">
        <f t="shared" si="119"/>
        <v>4.3343999999999994E-2</v>
      </c>
      <c r="O163" s="1">
        <f t="shared" si="120"/>
        <v>1</v>
      </c>
      <c r="P163" s="1">
        <f t="shared" si="120"/>
        <v>1</v>
      </c>
      <c r="Q163" s="1">
        <f t="shared" si="120"/>
        <v>1</v>
      </c>
      <c r="R163" s="1">
        <f t="shared" si="120"/>
        <v>1</v>
      </c>
    </row>
    <row r="164" spans="9:18" x14ac:dyDescent="0.3">
      <c r="I164" t="s">
        <v>6</v>
      </c>
      <c r="J164" s="166">
        <v>2.4E-2</v>
      </c>
      <c r="K164" s="166">
        <v>2.5529999999999999</v>
      </c>
      <c r="L164" s="214">
        <f t="shared" si="119"/>
        <v>6.1272E-2</v>
      </c>
    </row>
    <row r="165" spans="9:18" x14ac:dyDescent="0.3">
      <c r="I165" t="s">
        <v>5</v>
      </c>
      <c r="J165" s="166">
        <v>2.4E-2</v>
      </c>
      <c r="K165" s="166">
        <v>5.6909999999999998</v>
      </c>
      <c r="L165" s="214">
        <f t="shared" si="119"/>
        <v>0.13658400000000001</v>
      </c>
    </row>
    <row r="166" spans="9:18" x14ac:dyDescent="0.3">
      <c r="I166" t="s">
        <v>4</v>
      </c>
      <c r="J166" s="166">
        <v>4.2999999999999997E-2</v>
      </c>
      <c r="K166" s="166">
        <v>9.5969999999999995</v>
      </c>
      <c r="L166" s="214">
        <f t="shared" si="119"/>
        <v>0.41267099999999995</v>
      </c>
    </row>
    <row r="168" spans="9:18" x14ac:dyDescent="0.3">
      <c r="I168" t="s">
        <v>97</v>
      </c>
      <c r="J168" s="166">
        <f>SUM(J160:J166)</f>
        <v>1.0000000000000002</v>
      </c>
      <c r="K168" s="214"/>
      <c r="L168" s="214">
        <f t="shared" ref="L168" si="121">SUM(L160:L166)</f>
        <v>0.68540500000000004</v>
      </c>
    </row>
    <row r="170" spans="9:18" ht="43.2" x14ac:dyDescent="0.3">
      <c r="L170" s="166" t="s">
        <v>962</v>
      </c>
      <c r="N170" s="2" t="s">
        <v>973</v>
      </c>
      <c r="O170" s="219" t="s">
        <v>974</v>
      </c>
    </row>
    <row r="171" spans="9:18" x14ac:dyDescent="0.3">
      <c r="J171" s="166" t="s">
        <v>963</v>
      </c>
      <c r="L171" s="101">
        <f>0.01*1000000*$L$168</f>
        <v>6854.05</v>
      </c>
      <c r="M171" s="101"/>
      <c r="N171" s="214">
        <f>1/25</f>
        <v>0.04</v>
      </c>
      <c r="O171" s="216">
        <f>L171*N171</f>
        <v>274.16200000000003</v>
      </c>
    </row>
    <row r="172" spans="9:18" x14ac:dyDescent="0.3">
      <c r="J172" s="166" t="s">
        <v>44</v>
      </c>
      <c r="K172" s="166">
        <v>2.5000000000000001E-2</v>
      </c>
      <c r="L172" s="101">
        <f>0.025*1000000*$L$168</f>
        <v>17135.125</v>
      </c>
      <c r="M172" s="101"/>
      <c r="N172" s="214">
        <f>1/8</f>
        <v>0.125</v>
      </c>
      <c r="O172" s="216">
        <f t="shared" ref="O172:O173" si="122">L172*N172</f>
        <v>2141.890625</v>
      </c>
    </row>
    <row r="173" spans="9:18" x14ac:dyDescent="0.3">
      <c r="J173" s="166" t="s">
        <v>45</v>
      </c>
      <c r="K173" s="166">
        <v>0.03</v>
      </c>
      <c r="L173" s="101">
        <f>0.03*1000000*$L$168</f>
        <v>20562.150000000001</v>
      </c>
      <c r="M173" s="101"/>
      <c r="N173" s="214">
        <f>1/5</f>
        <v>0.2</v>
      </c>
      <c r="O173" s="216">
        <f t="shared" si="122"/>
        <v>4112.43</v>
      </c>
    </row>
    <row r="175" spans="9:18" x14ac:dyDescent="0.3">
      <c r="O175" t="s">
        <v>965</v>
      </c>
    </row>
    <row r="176" spans="9:18" x14ac:dyDescent="0.3">
      <c r="I176" t="s">
        <v>964</v>
      </c>
      <c r="K176" s="101">
        <f>0.0367*19.3*47</f>
        <v>33.290570000000002</v>
      </c>
      <c r="N176" s="214">
        <f>1/25</f>
        <v>0.04</v>
      </c>
      <c r="O176" s="216">
        <f>$K$176*N176</f>
        <v>1.3316228000000001</v>
      </c>
    </row>
    <row r="177" spans="14:15" x14ac:dyDescent="0.3">
      <c r="N177" s="214">
        <f>1/8</f>
        <v>0.125</v>
      </c>
      <c r="O177" s="216">
        <f t="shared" ref="O177:O178" si="123">$K$176*N177</f>
        <v>4.1613212500000003</v>
      </c>
    </row>
    <row r="178" spans="14:15" x14ac:dyDescent="0.3">
      <c r="N178" s="214">
        <f>1/5</f>
        <v>0.2</v>
      </c>
      <c r="O178" s="216">
        <f t="shared" si="123"/>
        <v>6.6581140000000012</v>
      </c>
    </row>
  </sheetData>
  <mergeCells count="1">
    <mergeCell ref="O5:R5"/>
  </mergeCells>
  <pageMargins left="0.7" right="0.7" top="0.75" bottom="0.75" header="0.3" footer="0.3"/>
  <drawing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97AF4E-8234-4EF8-BE00-9423E5DEF832}">
  <dimension ref="A3:AL300"/>
  <sheetViews>
    <sheetView tabSelected="1" topLeftCell="A20" zoomScale="75" zoomScaleNormal="75" workbookViewId="0">
      <selection activeCell="G40" sqref="G40"/>
    </sheetView>
  </sheetViews>
  <sheetFormatPr defaultRowHeight="14.4" x14ac:dyDescent="0.3"/>
  <cols>
    <col min="1" max="1" width="12.5546875" customWidth="1"/>
    <col min="2" max="2" width="17.77734375" customWidth="1"/>
    <col min="3" max="3" width="21.33203125" customWidth="1"/>
    <col min="4" max="4" width="19.88671875" customWidth="1"/>
    <col min="5" max="5" width="17.6640625" customWidth="1"/>
    <col min="6" max="6" width="14.88671875" customWidth="1"/>
    <col min="7" max="7" width="14" customWidth="1"/>
    <col min="8" max="8" width="14.88671875" customWidth="1"/>
    <col min="9" max="9" width="13.5546875" customWidth="1"/>
    <col min="10" max="10" width="15" customWidth="1"/>
    <col min="11" max="11" width="13.21875" customWidth="1"/>
    <col min="12" max="12" width="12" customWidth="1"/>
    <col min="13" max="13" width="15.44140625" customWidth="1"/>
    <col min="15" max="15" width="15.109375" customWidth="1"/>
    <col min="16" max="18" width="12.77734375" customWidth="1"/>
    <col min="19" max="19" width="6.88671875" customWidth="1"/>
    <col min="20" max="20" width="15" customWidth="1"/>
    <col min="21" max="23" width="12.77734375" customWidth="1"/>
    <col min="24" max="24" width="6.88671875" customWidth="1"/>
    <col min="25" max="25" width="15.44140625" customWidth="1"/>
    <col min="26" max="28" width="12.77734375" customWidth="1"/>
    <col min="29" max="29" width="6.88671875" customWidth="1"/>
    <col min="30" max="30" width="15.109375" customWidth="1"/>
    <col min="31" max="32" width="12.77734375" customWidth="1"/>
    <col min="33" max="33" width="14" customWidth="1"/>
    <col min="35" max="35" width="14" customWidth="1"/>
    <col min="36" max="38" width="11.77734375" customWidth="1"/>
  </cols>
  <sheetData>
    <row r="3" spans="2:6" ht="43.2" x14ac:dyDescent="0.3">
      <c r="B3" s="167"/>
      <c r="C3" s="176" t="s">
        <v>740</v>
      </c>
      <c r="D3" s="176" t="s">
        <v>738</v>
      </c>
      <c r="E3" s="176" t="s">
        <v>739</v>
      </c>
      <c r="F3" s="176" t="s">
        <v>531</v>
      </c>
    </row>
    <row r="4" spans="2:6" x14ac:dyDescent="0.3">
      <c r="B4" s="166" t="s">
        <v>743</v>
      </c>
      <c r="C4" s="2" t="s">
        <v>746</v>
      </c>
      <c r="D4" s="2" t="s">
        <v>750</v>
      </c>
      <c r="E4" s="2" t="s">
        <v>751</v>
      </c>
      <c r="F4" s="2" t="s">
        <v>767</v>
      </c>
    </row>
    <row r="5" spans="2:6" x14ac:dyDescent="0.3">
      <c r="B5" s="166" t="s">
        <v>745</v>
      </c>
      <c r="C5" s="2" t="s">
        <v>753</v>
      </c>
      <c r="D5" s="2" t="s">
        <v>754</v>
      </c>
      <c r="E5" s="2" t="s">
        <v>752</v>
      </c>
      <c r="F5" s="2" t="s">
        <v>765</v>
      </c>
    </row>
    <row r="6" spans="2:6" x14ac:dyDescent="0.3">
      <c r="B6" s="166" t="s">
        <v>756</v>
      </c>
      <c r="C6" s="2" t="s">
        <v>759</v>
      </c>
      <c r="D6" s="2" t="s">
        <v>757</v>
      </c>
      <c r="E6" s="2" t="s">
        <v>758</v>
      </c>
      <c r="F6" s="2" t="s">
        <v>766</v>
      </c>
    </row>
    <row r="7" spans="2:6" x14ac:dyDescent="0.3">
      <c r="B7" s="166" t="s">
        <v>755</v>
      </c>
      <c r="C7" s="166">
        <v>660</v>
      </c>
      <c r="D7" s="166">
        <v>330</v>
      </c>
      <c r="E7" s="166">
        <v>165</v>
      </c>
      <c r="F7" s="166">
        <v>165</v>
      </c>
    </row>
    <row r="8" spans="2:6" x14ac:dyDescent="0.3">
      <c r="B8" s="166" t="s">
        <v>760</v>
      </c>
      <c r="C8" s="166">
        <v>1100</v>
      </c>
      <c r="D8" s="166">
        <v>99</v>
      </c>
      <c r="E8" s="166">
        <v>9</v>
      </c>
      <c r="F8" s="166">
        <v>1</v>
      </c>
    </row>
    <row r="9" spans="2:6" x14ac:dyDescent="0.3">
      <c r="B9" s="166" t="s">
        <v>761</v>
      </c>
      <c r="C9" s="166">
        <v>54</v>
      </c>
      <c r="D9" s="166">
        <v>1</v>
      </c>
      <c r="E9" s="166">
        <v>0.03</v>
      </c>
      <c r="F9" s="166">
        <v>2E-3</v>
      </c>
    </row>
    <row r="10" spans="2:6" x14ac:dyDescent="0.3">
      <c r="B10" s="166"/>
      <c r="C10" s="166"/>
      <c r="D10" s="166"/>
      <c r="E10" s="166"/>
      <c r="F10" s="166"/>
    </row>
    <row r="11" spans="2:6" x14ac:dyDescent="0.3">
      <c r="B11" s="166" t="s">
        <v>744</v>
      </c>
      <c r="C11" s="2" t="s">
        <v>747</v>
      </c>
      <c r="D11" s="2" t="s">
        <v>749</v>
      </c>
      <c r="E11" s="2" t="s">
        <v>748</v>
      </c>
      <c r="F11" s="2">
        <v>9</v>
      </c>
    </row>
    <row r="12" spans="2:6" x14ac:dyDescent="0.3">
      <c r="B12" s="166" t="s">
        <v>82</v>
      </c>
      <c r="C12" s="166">
        <v>5</v>
      </c>
      <c r="D12" s="166">
        <v>4</v>
      </c>
      <c r="E12" s="166">
        <v>3</v>
      </c>
      <c r="F12" s="166">
        <v>2</v>
      </c>
    </row>
    <row r="13" spans="2:6" x14ac:dyDescent="0.3">
      <c r="B13" s="166" t="s">
        <v>742</v>
      </c>
      <c r="C13" s="166">
        <v>1100</v>
      </c>
      <c r="D13" s="166">
        <v>99</v>
      </c>
      <c r="E13" s="166">
        <v>9</v>
      </c>
      <c r="F13" s="166">
        <v>0.9</v>
      </c>
    </row>
    <row r="14" spans="2:6" x14ac:dyDescent="0.3">
      <c r="B14" s="166" t="s">
        <v>92</v>
      </c>
      <c r="C14" s="166">
        <v>5449</v>
      </c>
      <c r="D14" s="166">
        <v>54.5</v>
      </c>
      <c r="E14" s="166">
        <v>5.4</v>
      </c>
      <c r="F14" s="166">
        <v>0.5</v>
      </c>
    </row>
    <row r="15" spans="2:6" s="166" customFormat="1" x14ac:dyDescent="0.3"/>
    <row r="16" spans="2:6" ht="43.2" x14ac:dyDescent="0.3">
      <c r="C16" s="176" t="s">
        <v>740</v>
      </c>
      <c r="D16" s="176" t="s">
        <v>738</v>
      </c>
      <c r="E16" s="176" t="s">
        <v>739</v>
      </c>
      <c r="F16" s="176" t="s">
        <v>531</v>
      </c>
    </row>
    <row r="17" spans="2:15" x14ac:dyDescent="0.3">
      <c r="B17" s="174" t="s">
        <v>800</v>
      </c>
      <c r="C17" s="175">
        <v>1954711323.0312002</v>
      </c>
      <c r="D17" s="175">
        <v>54352517.295680001</v>
      </c>
      <c r="E17" s="175">
        <v>4964519.1293120002</v>
      </c>
      <c r="F17" s="175">
        <v>784821.68576000002</v>
      </c>
    </row>
    <row r="18" spans="2:15" x14ac:dyDescent="0.3">
      <c r="B18" s="166"/>
      <c r="C18" s="166"/>
      <c r="D18" s="166"/>
      <c r="E18" s="166"/>
      <c r="F18" s="101"/>
    </row>
    <row r="19" spans="2:15" x14ac:dyDescent="0.3">
      <c r="B19" s="166" t="s">
        <v>768</v>
      </c>
      <c r="C19" s="101">
        <v>349110000</v>
      </c>
      <c r="D19" s="101">
        <v>6465000</v>
      </c>
      <c r="E19" s="101">
        <v>193949.99999999997</v>
      </c>
      <c r="F19" s="101">
        <v>12930</v>
      </c>
    </row>
    <row r="20" spans="2:15" x14ac:dyDescent="0.3">
      <c r="B20" s="166" t="s">
        <v>769</v>
      </c>
      <c r="C20" s="101">
        <v>6360650</v>
      </c>
      <c r="D20" s="101">
        <v>322130</v>
      </c>
      <c r="E20" s="101">
        <v>45819.5</v>
      </c>
      <c r="F20" s="101">
        <v>4581.9500000000007</v>
      </c>
    </row>
    <row r="21" spans="2:15" x14ac:dyDescent="0.3">
      <c r="B21" s="8" t="s">
        <v>770</v>
      </c>
      <c r="C21" s="170">
        <v>164100000</v>
      </c>
      <c r="D21" s="170">
        <v>18020000</v>
      </c>
      <c r="E21" s="170">
        <v>1943000</v>
      </c>
      <c r="F21" s="170">
        <v>355800</v>
      </c>
    </row>
    <row r="22" spans="2:15" x14ac:dyDescent="0.3">
      <c r="B22" s="146" t="s">
        <v>773</v>
      </c>
      <c r="C22" s="171">
        <v>519570650</v>
      </c>
      <c r="D22" s="171">
        <v>24807130</v>
      </c>
      <c r="E22" s="171">
        <v>2182769.5</v>
      </c>
      <c r="F22" s="171">
        <v>373311.95</v>
      </c>
    </row>
    <row r="23" spans="2:15" x14ac:dyDescent="0.3">
      <c r="B23" s="166"/>
      <c r="C23" s="101"/>
      <c r="D23" s="101"/>
      <c r="E23" s="101"/>
      <c r="F23" s="101"/>
    </row>
    <row r="24" spans="2:15" x14ac:dyDescent="0.3">
      <c r="B24" s="166"/>
      <c r="C24" s="166"/>
      <c r="D24" s="166"/>
      <c r="E24" s="166"/>
      <c r="F24" s="166"/>
    </row>
    <row r="25" spans="2:15" x14ac:dyDescent="0.3">
      <c r="B25" s="166" t="s">
        <v>771</v>
      </c>
      <c r="C25" s="101">
        <v>1237680023.0312002</v>
      </c>
      <c r="D25" s="101">
        <v>9903257.2956800014</v>
      </c>
      <c r="E25" s="101">
        <v>735930.12931200024</v>
      </c>
      <c r="F25" s="101">
        <v>45427.785759999999</v>
      </c>
    </row>
    <row r="26" spans="2:15" x14ac:dyDescent="0.3">
      <c r="B26" s="166" t="s">
        <v>772</v>
      </c>
      <c r="C26" s="101">
        <v>33360650</v>
      </c>
      <c r="D26" s="101">
        <v>1622130</v>
      </c>
      <c r="E26" s="101">
        <v>102819.5</v>
      </c>
      <c r="F26" s="101">
        <v>10281.950000000001</v>
      </c>
      <c r="G26" s="156"/>
      <c r="H26" s="156"/>
      <c r="I26" s="156"/>
      <c r="J26" s="156"/>
      <c r="K26" s="156" t="s">
        <v>1045</v>
      </c>
    </row>
    <row r="27" spans="2:15" x14ac:dyDescent="0.3">
      <c r="B27" s="8" t="s">
        <v>815</v>
      </c>
      <c r="C27" s="170">
        <v>164100000</v>
      </c>
      <c r="D27" s="170">
        <v>18020000</v>
      </c>
      <c r="E27" s="170">
        <v>1943000</v>
      </c>
      <c r="F27" s="170">
        <v>355800</v>
      </c>
      <c r="G27" s="156">
        <f>(C25+C19)/C17</f>
        <v>0.81177716849286019</v>
      </c>
      <c r="H27" s="156">
        <f>(D25+D19)/D17</f>
        <v>0.30114993950760344</v>
      </c>
      <c r="I27" s="156">
        <f t="shared" ref="I27:J27" si="0">(E25+E19)/E17</f>
        <v>0.18730517600822824</v>
      </c>
      <c r="J27" s="156">
        <f t="shared" si="0"/>
        <v>7.4358018921824143E-2</v>
      </c>
      <c r="K27" s="156" t="s">
        <v>816</v>
      </c>
    </row>
    <row r="28" spans="2:15" x14ac:dyDescent="0.3">
      <c r="B28" s="146" t="s">
        <v>774</v>
      </c>
      <c r="C28" s="171">
        <v>1435140673.0312002</v>
      </c>
      <c r="D28" s="171">
        <v>29545387.295680001</v>
      </c>
      <c r="E28" s="171">
        <v>2781749.6293120002</v>
      </c>
      <c r="F28" s="171">
        <v>411509.73576000001</v>
      </c>
      <c r="G28" s="156">
        <f>(C20+C26)/C17</f>
        <v>2.0320801098345092E-2</v>
      </c>
      <c r="H28" s="156">
        <f t="shared" ref="H28:J28" si="1">(D20+D26)/D17</f>
        <v>3.5771296284643872E-2</v>
      </c>
      <c r="I28" s="156">
        <f t="shared" si="1"/>
        <v>2.9940261307966579E-2</v>
      </c>
      <c r="J28" s="156">
        <f t="shared" si="1"/>
        <v>1.8939206535311528E-2</v>
      </c>
      <c r="K28" s="156" t="s">
        <v>817</v>
      </c>
      <c r="L28" s="341" t="s">
        <v>1046</v>
      </c>
      <c r="M28" s="341"/>
      <c r="N28" s="341"/>
      <c r="O28" s="341"/>
    </row>
    <row r="29" spans="2:15" x14ac:dyDescent="0.3">
      <c r="B29" s="173"/>
      <c r="C29" s="173"/>
      <c r="D29" s="173"/>
      <c r="E29" s="173"/>
      <c r="F29" s="173"/>
      <c r="G29" s="156">
        <f>(C21+C27)/C17</f>
        <v>0.16790203040879476</v>
      </c>
      <c r="H29" s="156">
        <f t="shared" ref="H29:J29" si="2">(D21+D27)/D17</f>
        <v>0.66307876420775269</v>
      </c>
      <c r="I29" s="156">
        <f t="shared" si="2"/>
        <v>0.78275456268380517</v>
      </c>
      <c r="J29" s="156">
        <f t="shared" si="2"/>
        <v>0.9067027745428643</v>
      </c>
      <c r="K29" s="156" t="s">
        <v>818</v>
      </c>
      <c r="L29" s="341">
        <f>C28/C17</f>
        <v>0.73419571274888096</v>
      </c>
      <c r="M29" s="341">
        <f t="shared" ref="M29:O29" si="3">D28/D17</f>
        <v>0.54358820466312241</v>
      </c>
      <c r="N29" s="341">
        <f t="shared" si="3"/>
        <v>0.56032609742355943</v>
      </c>
      <c r="O29" s="341">
        <f t="shared" si="3"/>
        <v>0.52433532766300306</v>
      </c>
    </row>
    <row r="30" spans="2:15" x14ac:dyDescent="0.3">
      <c r="B30" s="86" t="s">
        <v>998</v>
      </c>
      <c r="C30" s="166"/>
      <c r="D30" s="166"/>
      <c r="E30" s="166"/>
      <c r="F30" s="166"/>
      <c r="G30" s="342" t="s">
        <v>1047</v>
      </c>
      <c r="H30" s="342"/>
      <c r="I30" s="342"/>
      <c r="J30" s="342"/>
    </row>
    <row r="31" spans="2:15" x14ac:dyDescent="0.3">
      <c r="B31" s="166" t="s">
        <v>1001</v>
      </c>
      <c r="C31" s="101">
        <v>736920305.6080302</v>
      </c>
      <c r="D31" s="101">
        <v>23284279.5174248</v>
      </c>
      <c r="E31" s="101">
        <v>2483221.2219620803</v>
      </c>
      <c r="F31" s="101">
        <v>400261.7234362</v>
      </c>
      <c r="G31" s="342">
        <f>C31/C17</f>
        <v>0.3769970004907307</v>
      </c>
      <c r="H31" s="342">
        <f t="shared" ref="H31:J31" si="4">D31/D17</f>
        <v>0.4283937649245817</v>
      </c>
      <c r="I31" s="342">
        <f t="shared" si="4"/>
        <v>0.50019370603295743</v>
      </c>
      <c r="J31" s="342">
        <f t="shared" si="4"/>
        <v>0.51000339401758177</v>
      </c>
    </row>
    <row r="32" spans="2:15" x14ac:dyDescent="0.3">
      <c r="B32" s="166" t="s">
        <v>797</v>
      </c>
      <c r="C32" s="101">
        <v>679703464.33451605</v>
      </c>
      <c r="D32" s="101">
        <v>22421481.1233152</v>
      </c>
      <c r="E32" s="101">
        <v>2445481.1628094399</v>
      </c>
      <c r="F32" s="101">
        <v>398169.514364</v>
      </c>
      <c r="G32" s="342">
        <f>C32/C17</f>
        <v>0.34772575179054555</v>
      </c>
      <c r="H32" s="342">
        <f t="shared" ref="H32:J32" si="5">D32/D17</f>
        <v>0.41251964469909264</v>
      </c>
      <c r="I32" s="342">
        <f t="shared" si="5"/>
        <v>0.4925917493943352</v>
      </c>
      <c r="J32" s="342">
        <f t="shared" si="5"/>
        <v>0.50733755398007818</v>
      </c>
    </row>
    <row r="33" spans="2:10" x14ac:dyDescent="0.3">
      <c r="B33" s="166" t="s">
        <v>798</v>
      </c>
      <c r="C33" s="101">
        <v>646429670.48622644</v>
      </c>
      <c r="D33" s="101">
        <v>21919730.672586851</v>
      </c>
      <c r="E33" s="101">
        <v>2423533.8668714436</v>
      </c>
      <c r="F33" s="101">
        <v>396952.81431893597</v>
      </c>
      <c r="G33" s="342">
        <f>C33/C17</f>
        <v>0.33070339485413031</v>
      </c>
      <c r="H33" s="342">
        <f t="shared" ref="H33:J33" si="6">D33/D17</f>
        <v>0.40328823324488516</v>
      </c>
      <c r="I33" s="342">
        <f t="shared" si="6"/>
        <v>0.48817091922602884</v>
      </c>
      <c r="J33" s="342">
        <f t="shared" si="6"/>
        <v>0.50578726546596076</v>
      </c>
    </row>
    <row r="34" spans="2:10" x14ac:dyDescent="0.3">
      <c r="B34" s="166" t="s">
        <v>799</v>
      </c>
      <c r="C34" s="101">
        <v>635588399.45354033</v>
      </c>
      <c r="D34" s="101">
        <v>21756250.287635252</v>
      </c>
      <c r="E34" s="101">
        <v>2416382.9965864602</v>
      </c>
      <c r="F34" s="101">
        <v>396556.38898150198</v>
      </c>
      <c r="G34" s="342">
        <f>C34/C17</f>
        <v>0.32515716871579986</v>
      </c>
      <c r="H34" s="342">
        <f t="shared" ref="H34:J34" si="7">D34/D17</f>
        <v>0.40028045378800631</v>
      </c>
      <c r="I34" s="342">
        <f t="shared" si="7"/>
        <v>0.48673052387277854</v>
      </c>
      <c r="J34" s="342">
        <f t="shared" si="7"/>
        <v>0.50528215029823942</v>
      </c>
    </row>
    <row r="35" spans="2:10" x14ac:dyDescent="0.3">
      <c r="B35" s="86" t="s">
        <v>999</v>
      </c>
      <c r="C35" s="101"/>
      <c r="D35" s="101"/>
      <c r="E35" s="101"/>
      <c r="F35" s="101"/>
      <c r="G35" s="343" t="s">
        <v>1048</v>
      </c>
      <c r="H35" s="343"/>
      <c r="I35" s="343"/>
      <c r="J35" s="343"/>
    </row>
    <row r="36" spans="2:10" x14ac:dyDescent="0.3">
      <c r="B36" s="166" t="s">
        <v>1003</v>
      </c>
      <c r="C36" s="101">
        <v>635052804.16858017</v>
      </c>
      <c r="D36" s="101">
        <v>20244075.9364448</v>
      </c>
      <c r="E36" s="101">
        <v>2186600.5888800798</v>
      </c>
      <c r="F36" s="101">
        <v>352172.48682619998</v>
      </c>
      <c r="G36" s="343">
        <f>C36/(C22+0.5*C28)</f>
        <v>0.51332290425297633</v>
      </c>
      <c r="H36" s="343">
        <f t="shared" ref="H36:J36" si="8">D36/(D22+0.5*D28)</f>
        <v>0.51147463709201202</v>
      </c>
      <c r="I36" s="343">
        <f t="shared" si="8"/>
        <v>0.61186855667547391</v>
      </c>
      <c r="J36" s="343">
        <f t="shared" si="8"/>
        <v>0.60817245256000951</v>
      </c>
    </row>
    <row r="37" spans="2:10" x14ac:dyDescent="0.3">
      <c r="B37" s="166" t="s">
        <v>801</v>
      </c>
      <c r="C37" s="101">
        <v>630807063.64358008</v>
      </c>
      <c r="D37" s="101">
        <v>20962183.404444799</v>
      </c>
      <c r="E37" s="101">
        <v>2303103.2589300801</v>
      </c>
      <c r="F37" s="101">
        <v>375086.68079119996</v>
      </c>
      <c r="G37" s="343">
        <f>C37/(C22+0.5*C28)</f>
        <v>0.50989100718443114</v>
      </c>
      <c r="H37" s="343">
        <f t="shared" ref="H37:J37" si="9">D37/(D22+0.5*D28)</f>
        <v>0.5296179081280159</v>
      </c>
      <c r="I37" s="343">
        <f t="shared" si="9"/>
        <v>0.64446907866144965</v>
      </c>
      <c r="J37" s="343">
        <f t="shared" si="9"/>
        <v>0.64774335052458343</v>
      </c>
    </row>
    <row r="38" spans="2:10" x14ac:dyDescent="0.3">
      <c r="B38" s="166" t="s">
        <v>802</v>
      </c>
      <c r="C38" s="101">
        <v>628338002.23058009</v>
      </c>
      <c r="D38" s="101">
        <v>21379790.516604804</v>
      </c>
      <c r="E38" s="101">
        <v>2370854.0424360801</v>
      </c>
      <c r="F38" s="101">
        <v>388412.165897</v>
      </c>
      <c r="G38" s="343">
        <f>C38/(C22+0.5*C28)</f>
        <v>0.50789522704303103</v>
      </c>
      <c r="H38" s="343">
        <f t="shared" ref="H38:J38" si="10">D38/(D22+0.5*D28)</f>
        <v>0.54016891805356915</v>
      </c>
      <c r="I38" s="343">
        <f t="shared" si="10"/>
        <v>0.66342753606252469</v>
      </c>
      <c r="J38" s="343">
        <f t="shared" si="10"/>
        <v>0.67075534964859729</v>
      </c>
    </row>
    <row r="39" spans="2:10" x14ac:dyDescent="0.3">
      <c r="B39" s="166" t="s">
        <v>803</v>
      </c>
      <c r="C39" s="101">
        <v>627533532.37972009</v>
      </c>
      <c r="D39" s="101">
        <v>21515855.310079999</v>
      </c>
      <c r="E39" s="101">
        <v>2392928.6098874002</v>
      </c>
      <c r="F39" s="101">
        <v>392753.87686427601</v>
      </c>
      <c r="G39" s="343">
        <f>C39/(C22+0.5*C28)</f>
        <v>0.50724496174616629</v>
      </c>
      <c r="H39" s="343">
        <f t="shared" ref="H39:J39" si="11">D39/(D22+0.5*D28)</f>
        <v>0.54360664922402169</v>
      </c>
      <c r="I39" s="343">
        <f t="shared" si="11"/>
        <v>0.66960458265912903</v>
      </c>
      <c r="J39" s="343">
        <f t="shared" si="11"/>
        <v>0.67825312163831564</v>
      </c>
    </row>
    <row r="40" spans="2:10" x14ac:dyDescent="0.3">
      <c r="B40" s="86" t="s">
        <v>1011</v>
      </c>
      <c r="C40" s="101"/>
      <c r="D40" s="101"/>
      <c r="E40" s="101"/>
      <c r="F40" s="101"/>
      <c r="G40" s="344" t="s">
        <v>1049</v>
      </c>
      <c r="H40" s="344"/>
      <c r="I40" s="344"/>
      <c r="J40" s="344"/>
    </row>
    <row r="41" spans="2:10" x14ac:dyDescent="0.3">
      <c r="B41" s="166" t="s">
        <v>1004</v>
      </c>
      <c r="C41" s="101">
        <v>101867501.43945001</v>
      </c>
      <c r="D41" s="101">
        <v>3040203.5809800001</v>
      </c>
      <c r="E41" s="101">
        <v>296620.63308200001</v>
      </c>
      <c r="F41" s="101">
        <v>48089.23661</v>
      </c>
      <c r="G41" s="344">
        <f>C41/C22</f>
        <v>0.19606092345564557</v>
      </c>
      <c r="H41" s="344">
        <f t="shared" ref="H41:J41" si="12">D41/D22</f>
        <v>0.12255361990605121</v>
      </c>
      <c r="I41" s="344">
        <f t="shared" si="12"/>
        <v>0.13589187180872742</v>
      </c>
      <c r="J41" s="344">
        <f t="shared" si="12"/>
        <v>0.12881783347680137</v>
      </c>
    </row>
    <row r="42" spans="2:10" x14ac:dyDescent="0.3">
      <c r="B42" s="166" t="s">
        <v>807</v>
      </c>
      <c r="C42" s="101">
        <v>48896400.690936044</v>
      </c>
      <c r="D42" s="101">
        <v>1459297.7188704014</v>
      </c>
      <c r="E42" s="101">
        <v>142377.90387936012</v>
      </c>
      <c r="F42" s="101">
        <v>23082.83357280002</v>
      </c>
      <c r="G42" s="344">
        <f>C42/C22</f>
        <v>9.4109243258709938E-2</v>
      </c>
      <c r="H42" s="344">
        <f t="shared" ref="H42:J42" si="13">D42/D22</f>
        <v>5.8825737554904632E-2</v>
      </c>
      <c r="I42" s="344">
        <f t="shared" si="13"/>
        <v>6.5228098468189208E-2</v>
      </c>
      <c r="J42" s="344">
        <f t="shared" si="13"/>
        <v>6.1832560068864714E-2</v>
      </c>
    </row>
    <row r="43" spans="2:10" x14ac:dyDescent="0.3">
      <c r="B43" s="166" t="s">
        <v>808</v>
      </c>
      <c r="C43" s="101">
        <v>18091668.255646318</v>
      </c>
      <c r="D43" s="101">
        <v>539940.1559820479</v>
      </c>
      <c r="E43" s="101">
        <v>52679.824435363204</v>
      </c>
      <c r="F43" s="101">
        <v>8540.6484219359991</v>
      </c>
      <c r="G43" s="344">
        <f>C43/C22</f>
        <v>3.4820420005722642E-2</v>
      </c>
      <c r="H43" s="344">
        <f t="shared" ref="H43:J43" si="14">D43/D22</f>
        <v>2.1765522895314689E-2</v>
      </c>
      <c r="I43" s="344">
        <f t="shared" si="14"/>
        <v>2.4134396433229989E-2</v>
      </c>
      <c r="J43" s="344">
        <f t="shared" si="14"/>
        <v>2.2878047225479922E-2</v>
      </c>
    </row>
    <row r="44" spans="2:10" x14ac:dyDescent="0.3">
      <c r="B44" s="166" t="s">
        <v>809</v>
      </c>
      <c r="C44" s="101">
        <v>8054867.0738201942</v>
      </c>
      <c r="D44" s="101">
        <v>240394.97755525066</v>
      </c>
      <c r="E44" s="101">
        <v>23454.386699059916</v>
      </c>
      <c r="F44" s="101">
        <v>3802.5121172259214</v>
      </c>
      <c r="G44" s="344">
        <f>C44/C22</f>
        <v>1.5502929339484812E-2</v>
      </c>
      <c r="H44" s="344">
        <f t="shared" ref="H44:J44" si="15">D44/D22</f>
        <v>9.6905598332112843E-3</v>
      </c>
      <c r="I44" s="344">
        <f t="shared" si="15"/>
        <v>1.0745242087659699E-2</v>
      </c>
      <c r="J44" s="344">
        <f t="shared" si="15"/>
        <v>1.0185883728677642E-2</v>
      </c>
    </row>
    <row r="45" spans="2:10" x14ac:dyDescent="0.3">
      <c r="B45" s="86"/>
      <c r="C45" s="166"/>
      <c r="D45" s="166"/>
      <c r="E45" s="166"/>
      <c r="F45" s="166"/>
    </row>
    <row r="46" spans="2:10" x14ac:dyDescent="0.3">
      <c r="B46" s="166"/>
      <c r="C46" s="101"/>
      <c r="D46" s="101"/>
      <c r="E46" s="101"/>
      <c r="F46" s="101"/>
    </row>
    <row r="48" spans="2:10" s="166" customFormat="1" x14ac:dyDescent="0.3">
      <c r="B48" s="86" t="s">
        <v>820</v>
      </c>
    </row>
    <row r="49" spans="2:11" ht="72" x14ac:dyDescent="0.3">
      <c r="C49" s="176" t="s">
        <v>775</v>
      </c>
      <c r="D49" s="176" t="s">
        <v>814</v>
      </c>
      <c r="E49" s="176" t="s">
        <v>776</v>
      </c>
      <c r="F49" s="176" t="s">
        <v>777</v>
      </c>
    </row>
    <row r="50" spans="2:11" x14ac:dyDescent="0.3">
      <c r="B50" s="166" t="s">
        <v>743</v>
      </c>
      <c r="C50" s="2" t="s">
        <v>746</v>
      </c>
      <c r="D50" s="2" t="s">
        <v>750</v>
      </c>
      <c r="E50" s="2" t="s">
        <v>751</v>
      </c>
      <c r="F50" s="2" t="s">
        <v>767</v>
      </c>
      <c r="G50" s="103" t="s">
        <v>821</v>
      </c>
    </row>
    <row r="51" spans="2:11" x14ac:dyDescent="0.3">
      <c r="B51" s="166" t="s">
        <v>745</v>
      </c>
      <c r="C51" s="2" t="s">
        <v>753</v>
      </c>
      <c r="D51" s="2" t="s">
        <v>754</v>
      </c>
      <c r="E51" s="2" t="s">
        <v>752</v>
      </c>
      <c r="F51" s="2" t="s">
        <v>765</v>
      </c>
    </row>
    <row r="52" spans="2:11" x14ac:dyDescent="0.3">
      <c r="B52" s="166" t="s">
        <v>756</v>
      </c>
      <c r="C52" s="2" t="s">
        <v>759</v>
      </c>
      <c r="D52" s="2" t="s">
        <v>757</v>
      </c>
      <c r="E52" s="2" t="s">
        <v>758</v>
      </c>
      <c r="F52" s="2" t="s">
        <v>766</v>
      </c>
    </row>
    <row r="53" spans="2:11" x14ac:dyDescent="0.3">
      <c r="B53" s="166" t="s">
        <v>755</v>
      </c>
      <c r="C53" s="166">
        <v>660</v>
      </c>
      <c r="D53" s="166">
        <v>330</v>
      </c>
      <c r="E53" s="166">
        <v>165</v>
      </c>
      <c r="F53" s="166">
        <v>165</v>
      </c>
    </row>
    <row r="54" spans="2:11" x14ac:dyDescent="0.3">
      <c r="B54" s="166" t="s">
        <v>760</v>
      </c>
      <c r="C54" s="166">
        <v>1100</v>
      </c>
      <c r="D54" s="166">
        <v>99</v>
      </c>
      <c r="E54" s="166">
        <v>9</v>
      </c>
      <c r="F54" s="166">
        <v>1</v>
      </c>
    </row>
    <row r="55" spans="2:11" x14ac:dyDescent="0.3">
      <c r="B55" s="166" t="s">
        <v>761</v>
      </c>
      <c r="C55" s="166">
        <v>59</v>
      </c>
      <c r="D55" s="166">
        <v>6</v>
      </c>
      <c r="E55" s="166">
        <v>5.03</v>
      </c>
      <c r="F55" s="166">
        <v>5.0019999999999998</v>
      </c>
      <c r="G55" t="s">
        <v>822</v>
      </c>
    </row>
    <row r="56" spans="2:11" x14ac:dyDescent="0.3">
      <c r="B56" s="166"/>
      <c r="C56" s="166"/>
      <c r="D56" s="166"/>
      <c r="E56" s="166"/>
      <c r="F56" s="166"/>
    </row>
    <row r="57" spans="2:11" x14ac:dyDescent="0.3">
      <c r="C57" s="166"/>
      <c r="D57" s="166"/>
      <c r="E57" s="166"/>
      <c r="F57" s="166"/>
      <c r="H57" s="156" t="s">
        <v>1050</v>
      </c>
      <c r="I57" s="156"/>
      <c r="J57" s="156"/>
      <c r="K57" s="156"/>
    </row>
    <row r="58" spans="2:11" x14ac:dyDescent="0.3">
      <c r="B58" s="166" t="s">
        <v>934</v>
      </c>
      <c r="C58" s="101">
        <v>381435000</v>
      </c>
      <c r="D58" s="101">
        <v>38790000</v>
      </c>
      <c r="E58" s="101">
        <v>32518950.000000004</v>
      </c>
      <c r="F58" s="101">
        <v>32337930</v>
      </c>
      <c r="H58" s="156">
        <f>C58/$C$61</f>
        <v>0.8885774644133444</v>
      </c>
      <c r="I58" s="156">
        <f>D58/$D$61</f>
        <v>0.88707558047227908</v>
      </c>
      <c r="J58" s="156">
        <f>E58/$E$61</f>
        <v>0.9841268686753506</v>
      </c>
      <c r="K58" s="156">
        <f>F58/$F$61</f>
        <v>0.99708808495629386</v>
      </c>
    </row>
    <row r="59" spans="2:11" x14ac:dyDescent="0.3">
      <c r="B59" s="166" t="s">
        <v>935</v>
      </c>
      <c r="C59" s="101">
        <v>5163769</v>
      </c>
      <c r="D59" s="101">
        <v>252753.8</v>
      </c>
      <c r="E59" s="101">
        <v>19323.07</v>
      </c>
      <c r="F59" s="101">
        <v>1932.307</v>
      </c>
      <c r="H59" s="156">
        <f t="shared" ref="H59:H60" si="16">C59/$C$61</f>
        <v>1.2029333346012376E-2</v>
      </c>
      <c r="I59" s="156">
        <f t="shared" ref="I59:I60" si="17">D59/$D$61</f>
        <v>5.7801424040106811E-3</v>
      </c>
      <c r="J59" s="156">
        <f t="shared" ref="J59:J60" si="18">E59/$E$61</f>
        <v>5.8477756422930637E-4</v>
      </c>
      <c r="K59" s="156">
        <f t="shared" ref="K59:K60" si="19">F59/$F$61</f>
        <v>5.957957996005438E-5</v>
      </c>
    </row>
    <row r="60" spans="2:11" x14ac:dyDescent="0.3">
      <c r="B60" s="8" t="s">
        <v>936</v>
      </c>
      <c r="C60" s="170">
        <v>42666000</v>
      </c>
      <c r="D60" s="170">
        <v>4685200</v>
      </c>
      <c r="E60" s="170">
        <v>505180</v>
      </c>
      <c r="F60" s="170">
        <v>92508</v>
      </c>
      <c r="H60" s="156">
        <f t="shared" si="16"/>
        <v>9.9393202240643228E-2</v>
      </c>
      <c r="I60" s="156">
        <f t="shared" si="17"/>
        <v>0.10714427712371029</v>
      </c>
      <c r="J60" s="156">
        <f t="shared" si="18"/>
        <v>1.528835376042011E-2</v>
      </c>
      <c r="K60" s="156">
        <f t="shared" si="19"/>
        <v>2.8523354637460356E-3</v>
      </c>
    </row>
    <row r="61" spans="2:11" x14ac:dyDescent="0.3">
      <c r="B61" s="146" t="s">
        <v>819</v>
      </c>
      <c r="C61" s="171">
        <v>429264769</v>
      </c>
      <c r="D61" s="171">
        <v>43727953.799999997</v>
      </c>
      <c r="E61" s="171">
        <v>33043453.070000004</v>
      </c>
      <c r="F61" s="171">
        <v>32432370.307</v>
      </c>
    </row>
    <row r="67" spans="2:38" x14ac:dyDescent="0.3">
      <c r="I67" s="217"/>
      <c r="J67" s="86" t="s">
        <v>838</v>
      </c>
    </row>
    <row r="68" spans="2:38" x14ac:dyDescent="0.3">
      <c r="I68" s="217" t="s">
        <v>1013</v>
      </c>
      <c r="J68" s="86" t="s">
        <v>1014</v>
      </c>
    </row>
    <row r="69" spans="2:38" x14ac:dyDescent="0.3">
      <c r="I69" s="186" t="s">
        <v>1012</v>
      </c>
      <c r="J69" s="175">
        <v>736920305.6080302</v>
      </c>
      <c r="K69" s="175">
        <v>23284279.5174248</v>
      </c>
      <c r="L69" s="175">
        <v>2483221.2219620803</v>
      </c>
      <c r="M69" s="175">
        <v>400261.7234362</v>
      </c>
    </row>
    <row r="70" spans="2:38" x14ac:dyDescent="0.3">
      <c r="I70" s="186" t="s">
        <v>835</v>
      </c>
      <c r="J70" s="175">
        <v>679703464.33451605</v>
      </c>
      <c r="K70" s="175">
        <v>22421481.1233152</v>
      </c>
      <c r="L70" s="175">
        <v>2445481.1628094399</v>
      </c>
      <c r="M70" s="175">
        <v>398169.514364</v>
      </c>
      <c r="T70" t="s">
        <v>1023</v>
      </c>
      <c r="Y70">
        <v>4633</v>
      </c>
    </row>
    <row r="71" spans="2:38" x14ac:dyDescent="0.3">
      <c r="E71" s="243" t="s">
        <v>834</v>
      </c>
      <c r="F71" s="243"/>
      <c r="G71" s="243"/>
      <c r="H71" s="243"/>
      <c r="I71" s="186" t="s">
        <v>836</v>
      </c>
      <c r="J71" s="175">
        <v>646429670.48622644</v>
      </c>
      <c r="K71" s="175">
        <v>21919730.672586851</v>
      </c>
      <c r="L71" s="175">
        <v>2423533.8668714436</v>
      </c>
      <c r="M71" s="175">
        <v>396952.81431893597</v>
      </c>
      <c r="O71" s="86" t="s">
        <v>838</v>
      </c>
      <c r="T71" s="86" t="s">
        <v>937</v>
      </c>
      <c r="AD71" t="s">
        <v>1033</v>
      </c>
      <c r="AI71" s="217" t="s">
        <v>1034</v>
      </c>
      <c r="AJ71" s="217"/>
      <c r="AK71" s="217"/>
      <c r="AL71" s="217"/>
    </row>
    <row r="72" spans="2:38" x14ac:dyDescent="0.3">
      <c r="E72" s="175">
        <v>1954711323.0312002</v>
      </c>
      <c r="F72" s="175">
        <v>54352517.295680001</v>
      </c>
      <c r="G72" s="175">
        <v>4964519.1293120002</v>
      </c>
      <c r="H72" s="175">
        <v>784821.68576000002</v>
      </c>
      <c r="I72" s="186" t="s">
        <v>837</v>
      </c>
      <c r="J72" s="175">
        <v>635588399.45354033</v>
      </c>
      <c r="K72" s="175">
        <v>21756250.287635252</v>
      </c>
      <c r="L72" s="175">
        <v>2416382.9965864602</v>
      </c>
      <c r="M72" s="175">
        <v>396556.38898150198</v>
      </c>
      <c r="O72" s="244" t="s">
        <v>1017</v>
      </c>
      <c r="P72" s="244"/>
      <c r="Q72" s="244"/>
      <c r="R72" s="244"/>
      <c r="T72" s="212" t="s">
        <v>969</v>
      </c>
      <c r="U72" s="212"/>
      <c r="V72" s="212"/>
      <c r="W72" s="212"/>
      <c r="X72" s="212"/>
      <c r="Y72" s="212" t="s">
        <v>968</v>
      </c>
      <c r="Z72" s="212"/>
      <c r="AA72" s="212"/>
      <c r="AB72" s="212"/>
      <c r="AC72" s="212"/>
      <c r="AD72" s="212" t="s">
        <v>972</v>
      </c>
      <c r="AE72" s="212"/>
      <c r="AF72" s="212"/>
      <c r="AG72" s="212"/>
      <c r="AI72" s="217" t="s">
        <v>972</v>
      </c>
      <c r="AJ72" s="217"/>
      <c r="AK72" s="217"/>
      <c r="AL72" s="217"/>
    </row>
    <row r="73" spans="2:38" ht="28.8" x14ac:dyDescent="0.3">
      <c r="B73" s="176" t="s">
        <v>823</v>
      </c>
      <c r="C73" s="176" t="s">
        <v>824</v>
      </c>
      <c r="D73" s="176" t="s">
        <v>825</v>
      </c>
      <c r="E73" s="181" t="s">
        <v>828</v>
      </c>
      <c r="F73" s="181" t="s">
        <v>829</v>
      </c>
      <c r="G73" s="181" t="s">
        <v>830</v>
      </c>
      <c r="H73" s="181" t="s">
        <v>831</v>
      </c>
      <c r="I73" s="189" t="s">
        <v>839</v>
      </c>
      <c r="J73" s="188" t="s">
        <v>828</v>
      </c>
      <c r="K73" s="188" t="s">
        <v>829</v>
      </c>
      <c r="L73" s="188" t="s">
        <v>830</v>
      </c>
      <c r="M73" s="188" t="s">
        <v>831</v>
      </c>
      <c r="N73" s="8"/>
      <c r="O73" s="188" t="s">
        <v>828</v>
      </c>
      <c r="P73" s="188" t="s">
        <v>829</v>
      </c>
      <c r="Q73" s="188" t="s">
        <v>830</v>
      </c>
      <c r="R73" s="188" t="s">
        <v>831</v>
      </c>
      <c r="S73" s="8"/>
      <c r="T73" s="170">
        <f>54463+4633</f>
        <v>59096</v>
      </c>
      <c r="U73" s="170">
        <f>5548+4633</f>
        <v>10181</v>
      </c>
      <c r="V73" s="170">
        <f>4192+4633</f>
        <v>8825</v>
      </c>
      <c r="W73" s="170">
        <f>4115+4633</f>
        <v>8748</v>
      </c>
      <c r="X73" s="8"/>
      <c r="Y73" s="170">
        <f>119807+4633</f>
        <v>124440</v>
      </c>
      <c r="Z73" s="170">
        <f>12204+4633</f>
        <v>16837</v>
      </c>
      <c r="AA73" s="170">
        <f>9222+4633</f>
        <v>13855</v>
      </c>
      <c r="AB73" s="170">
        <f>9052+4633</f>
        <v>13685</v>
      </c>
      <c r="AC73" s="8"/>
      <c r="AD73" s="170">
        <f>Y73*15+0.45*(4000000/0.9778+E93+T73)</f>
        <v>3753412.0951149859</v>
      </c>
      <c r="AE73" s="170">
        <f>Z73*15+0.28*(4000000/0.9778+F93+U73)</f>
        <v>1401169.0044948827</v>
      </c>
      <c r="AF73" s="170">
        <f>AA73*15+0.07*(4000000/0.9778+G93+V73)</f>
        <v>494807.52360654448</v>
      </c>
      <c r="AG73" s="170">
        <f>AB73*15+0.01*(4000000/0.9778+H93+W73)</f>
        <v>246270.81383892591</v>
      </c>
      <c r="AI73" s="170">
        <f>Y73*15+0.45*(1000000/0.9778+E93+T73)</f>
        <v>2372761.655352253</v>
      </c>
      <c r="AJ73" s="170">
        <f>Z73*15+0.28*(1000000/0.9778+F93+U73)</f>
        <v>542097.61975362676</v>
      </c>
      <c r="AK73" s="170">
        <f>AA73*15+0.07*(1000000/0.9778+G93+V73)</f>
        <v>280039.67742123047</v>
      </c>
      <c r="AL73" s="170">
        <f>AB73*15+0.01*(1000000/0.9778+H93+W73)</f>
        <v>215589.69295530964</v>
      </c>
    </row>
    <row r="74" spans="2:38" s="217" customFormat="1" x14ac:dyDescent="0.3">
      <c r="B74" s="225"/>
      <c r="C74" s="225"/>
      <c r="D74" s="225"/>
      <c r="E74" s="181"/>
      <c r="F74" s="181"/>
      <c r="G74" s="181"/>
      <c r="H74" s="181"/>
      <c r="I74" s="145" t="s">
        <v>1004</v>
      </c>
      <c r="J74" s="235">
        <f>J69*$D$75</f>
        <v>736920305.6080302</v>
      </c>
      <c r="K74" s="235">
        <f t="shared" ref="K74:M74" si="20">K69*$D$75</f>
        <v>23284279.5174248</v>
      </c>
      <c r="L74" s="235">
        <f t="shared" si="20"/>
        <v>2483221.2219620803</v>
      </c>
      <c r="M74" s="235">
        <f t="shared" si="20"/>
        <v>400261.7234362</v>
      </c>
      <c r="N74" s="207"/>
      <c r="O74" s="182">
        <f>E$76-J74</f>
        <v>1217791017.4231701</v>
      </c>
      <c r="P74" s="182">
        <f t="shared" ref="P74:R74" si="21">F$76-K74</f>
        <v>31068237.778255202</v>
      </c>
      <c r="Q74" s="182">
        <f t="shared" si="21"/>
        <v>2481297.9073499199</v>
      </c>
      <c r="R74" s="195">
        <f t="shared" si="21"/>
        <v>384559.96232380002</v>
      </c>
      <c r="S74" s="207"/>
      <c r="T74" s="182">
        <f>O74-T$73</f>
        <v>1217731921.4231701</v>
      </c>
      <c r="U74" s="182">
        <f t="shared" ref="U74" si="22">P74-U$73</f>
        <v>31058056.778255202</v>
      </c>
      <c r="V74" s="182">
        <f t="shared" ref="V74" si="23">Q74-V$73</f>
        <v>2472472.9073499199</v>
      </c>
      <c r="W74" s="195">
        <f t="shared" ref="W74" si="24">R74-W$73</f>
        <v>375811.96232380002</v>
      </c>
      <c r="X74" s="207"/>
      <c r="Y74" s="182">
        <f>O74-Y$73</f>
        <v>1217666577.4231701</v>
      </c>
      <c r="Z74" s="182">
        <f t="shared" ref="Z74" si="25">P74-Z$73</f>
        <v>31051400.778255202</v>
      </c>
      <c r="AA74" s="182">
        <f t="shared" ref="AA74" si="26">Q74-AA$73</f>
        <v>2467442.9073499199</v>
      </c>
      <c r="AB74" s="195">
        <f t="shared" ref="AB74" si="27">R74-AB$73</f>
        <v>370874.96232380002</v>
      </c>
      <c r="AC74" s="207"/>
      <c r="AD74" s="182">
        <f>O74-AD$73</f>
        <v>1214037605.3280551</v>
      </c>
      <c r="AE74" s="182">
        <f t="shared" ref="AE74" si="28">P74-AE$73</f>
        <v>29667068.773760319</v>
      </c>
      <c r="AF74" s="182">
        <f t="shared" ref="AF74" si="29">Q74-AF$73</f>
        <v>1986490.3837433755</v>
      </c>
      <c r="AG74" s="195">
        <f t="shared" ref="AG74" si="30">R74-AG$73</f>
        <v>138289.14848487411</v>
      </c>
      <c r="AI74" s="182">
        <f>O74-AI$73</f>
        <v>1215418255.7678177</v>
      </c>
      <c r="AJ74" s="182">
        <f t="shared" ref="AJ74:AL89" si="31">P74-AJ$73</f>
        <v>30526140.158501577</v>
      </c>
      <c r="AK74" s="182">
        <f t="shared" si="31"/>
        <v>2201258.2299286895</v>
      </c>
      <c r="AL74" s="195">
        <f t="shared" si="31"/>
        <v>168970.26936849038</v>
      </c>
    </row>
    <row r="75" spans="2:38" x14ac:dyDescent="0.3">
      <c r="B75" s="169" t="s">
        <v>826</v>
      </c>
      <c r="C75" s="179">
        <v>1</v>
      </c>
      <c r="D75" s="179">
        <v>1</v>
      </c>
      <c r="I75" s="168" t="s">
        <v>835</v>
      </c>
      <c r="J75" s="235">
        <f t="shared" ref="J75:M77" si="32">J70*$D$75</f>
        <v>679703464.33451605</v>
      </c>
      <c r="K75" s="235">
        <f t="shared" si="32"/>
        <v>22421481.1233152</v>
      </c>
      <c r="L75" s="235">
        <f t="shared" si="32"/>
        <v>2445481.1628094399</v>
      </c>
      <c r="M75" s="235">
        <f t="shared" si="32"/>
        <v>398169.514364</v>
      </c>
      <c r="O75" s="182">
        <f>E$76-J75</f>
        <v>1275007858.6966841</v>
      </c>
      <c r="P75" s="182">
        <f t="shared" ref="P75:R77" si="33">F$76-K75</f>
        <v>31931036.172364801</v>
      </c>
      <c r="Q75" s="182">
        <f t="shared" si="33"/>
        <v>2519037.9665025603</v>
      </c>
      <c r="R75" s="195">
        <f t="shared" si="33"/>
        <v>386652.17139600002</v>
      </c>
      <c r="T75" s="182">
        <f>O75-T$73</f>
        <v>1274948762.6966841</v>
      </c>
      <c r="U75" s="182">
        <f t="shared" ref="U75:W75" si="34">P75-U$73</f>
        <v>31920855.172364801</v>
      </c>
      <c r="V75" s="182">
        <f t="shared" si="34"/>
        <v>2510212.9665025603</v>
      </c>
      <c r="W75" s="195">
        <f t="shared" si="34"/>
        <v>377904.17139600002</v>
      </c>
      <c r="Y75" s="182">
        <f>O75-Y$73</f>
        <v>1274883418.6966841</v>
      </c>
      <c r="Z75" s="182">
        <f t="shared" ref="Z75:AB75" si="35">P75-Z$73</f>
        <v>31914199.172364801</v>
      </c>
      <c r="AA75" s="182">
        <f t="shared" si="35"/>
        <v>2505182.9665025603</v>
      </c>
      <c r="AB75" s="195">
        <f t="shared" si="35"/>
        <v>372967.17139600002</v>
      </c>
      <c r="AD75" s="182">
        <f>O75-AD$73</f>
        <v>1271254446.6015692</v>
      </c>
      <c r="AE75" s="182">
        <f t="shared" ref="AE75:AG75" si="36">P75-AE$73</f>
        <v>30529867.167869918</v>
      </c>
      <c r="AF75" s="182">
        <f t="shared" si="36"/>
        <v>2024230.4428960159</v>
      </c>
      <c r="AG75" s="195">
        <f t="shared" si="36"/>
        <v>140381.35755707411</v>
      </c>
      <c r="AI75" s="182">
        <f t="shared" ref="AI75:AI97" si="37">O75-AI$73</f>
        <v>1272635097.0413318</v>
      </c>
      <c r="AJ75" s="182">
        <f t="shared" si="31"/>
        <v>31388938.552611176</v>
      </c>
      <c r="AK75" s="182">
        <f t="shared" si="31"/>
        <v>2238998.2890813299</v>
      </c>
      <c r="AL75" s="195">
        <f t="shared" si="31"/>
        <v>171062.47844069038</v>
      </c>
    </row>
    <row r="76" spans="2:38" s="168" customFormat="1" x14ac:dyDescent="0.3">
      <c r="B76" s="169"/>
      <c r="C76" s="179"/>
      <c r="D76" s="179" t="s">
        <v>832</v>
      </c>
      <c r="E76" s="182">
        <f>E72*$D75</f>
        <v>1954711323.0312002</v>
      </c>
      <c r="F76" s="182">
        <f t="shared" ref="F76:H76" si="38">F72*$D75</f>
        <v>54352517.295680001</v>
      </c>
      <c r="G76" s="182">
        <f t="shared" si="38"/>
        <v>4964519.1293120002</v>
      </c>
      <c r="H76" s="195">
        <f t="shared" si="38"/>
        <v>784821.68576000002</v>
      </c>
      <c r="I76" s="168" t="s">
        <v>836</v>
      </c>
      <c r="J76" s="235">
        <f t="shared" si="32"/>
        <v>646429670.48622644</v>
      </c>
      <c r="K76" s="235">
        <f t="shared" si="32"/>
        <v>21919730.672586851</v>
      </c>
      <c r="L76" s="235">
        <f t="shared" si="32"/>
        <v>2423533.8668714436</v>
      </c>
      <c r="M76" s="235">
        <f t="shared" si="32"/>
        <v>396952.81431893597</v>
      </c>
      <c r="O76" s="182">
        <f t="shared" ref="O76:O77" si="39">E$76-J76</f>
        <v>1308281652.5449739</v>
      </c>
      <c r="P76" s="182">
        <f t="shared" si="33"/>
        <v>32432786.623093151</v>
      </c>
      <c r="Q76" s="182">
        <f t="shared" si="33"/>
        <v>2540985.2624405567</v>
      </c>
      <c r="R76" s="195">
        <f t="shared" si="33"/>
        <v>387868.87144106405</v>
      </c>
      <c r="T76" s="182">
        <f t="shared" ref="T76:T97" si="40">O76-T$73</f>
        <v>1308222556.5449739</v>
      </c>
      <c r="U76" s="182">
        <f t="shared" ref="U76:U97" si="41">P76-U$73</f>
        <v>32422605.623093151</v>
      </c>
      <c r="V76" s="182">
        <f t="shared" ref="V76:V97" si="42">Q76-V$73</f>
        <v>2532160.2624405567</v>
      </c>
      <c r="W76" s="195">
        <f t="shared" ref="W76:W97" si="43">R76-W$73</f>
        <v>379120.87144106405</v>
      </c>
      <c r="X76" s="212"/>
      <c r="Y76" s="182">
        <f t="shared" ref="Y76:Y97" si="44">O76-Y$73</f>
        <v>1308157212.5449739</v>
      </c>
      <c r="Z76" s="182">
        <f t="shared" ref="Z76:Z97" si="45">P76-Z$73</f>
        <v>32415949.623093151</v>
      </c>
      <c r="AA76" s="182">
        <f t="shared" ref="AA76:AA97" si="46">Q76-AA$73</f>
        <v>2527130.2624405567</v>
      </c>
      <c r="AB76" s="195">
        <f t="shared" ref="AB76:AB97" si="47">R76-AB$73</f>
        <v>374183.87144106405</v>
      </c>
      <c r="AC76" s="212"/>
      <c r="AD76" s="182">
        <f t="shared" ref="AD76:AD97" si="48">O76-AD$73</f>
        <v>1304528240.4498589</v>
      </c>
      <c r="AE76" s="182">
        <f t="shared" ref="AE76:AE97" si="49">P76-AE$73</f>
        <v>31031617.618598267</v>
      </c>
      <c r="AF76" s="182">
        <f t="shared" ref="AF76:AF97" si="50">Q76-AF$73</f>
        <v>2046177.7388340123</v>
      </c>
      <c r="AG76" s="195">
        <f t="shared" ref="AG76:AG97" si="51">R76-AG$73</f>
        <v>141598.05760213814</v>
      </c>
      <c r="AI76" s="182">
        <f t="shared" si="37"/>
        <v>1305908890.8896215</v>
      </c>
      <c r="AJ76" s="182">
        <f t="shared" si="31"/>
        <v>31890689.003339525</v>
      </c>
      <c r="AK76" s="182">
        <f t="shared" si="31"/>
        <v>2260945.5850193263</v>
      </c>
      <c r="AL76" s="195">
        <f t="shared" si="31"/>
        <v>172279.17848575441</v>
      </c>
    </row>
    <row r="77" spans="2:38" s="168" customFormat="1" x14ac:dyDescent="0.3">
      <c r="B77" s="169"/>
      <c r="C77" s="179"/>
      <c r="D77" s="179" t="s">
        <v>833</v>
      </c>
      <c r="E77" s="182">
        <f>E72*$C$75</f>
        <v>1954711323.0312002</v>
      </c>
      <c r="F77" s="182">
        <f t="shared" ref="F77:H77" si="52">F72*$C$75</f>
        <v>54352517.295680001</v>
      </c>
      <c r="G77" s="182">
        <f t="shared" si="52"/>
        <v>4964519.1293120002</v>
      </c>
      <c r="H77" s="195">
        <f t="shared" si="52"/>
        <v>784821.68576000002</v>
      </c>
      <c r="I77" s="8" t="s">
        <v>837</v>
      </c>
      <c r="J77" s="236">
        <f t="shared" si="32"/>
        <v>635588399.45354033</v>
      </c>
      <c r="K77" s="236">
        <f t="shared" si="32"/>
        <v>21756250.287635252</v>
      </c>
      <c r="L77" s="236">
        <f t="shared" si="32"/>
        <v>2416382.9965864602</v>
      </c>
      <c r="M77" s="236">
        <f t="shared" si="32"/>
        <v>396556.38898150198</v>
      </c>
      <c r="N77" s="8"/>
      <c r="O77" s="194">
        <f t="shared" si="39"/>
        <v>1319122923.5776598</v>
      </c>
      <c r="P77" s="194">
        <f t="shared" si="33"/>
        <v>32596267.008044749</v>
      </c>
      <c r="Q77" s="194">
        <f t="shared" si="33"/>
        <v>2548136.1327255401</v>
      </c>
      <c r="R77" s="196">
        <f t="shared" si="33"/>
        <v>388265.29677849804</v>
      </c>
      <c r="S77" s="8"/>
      <c r="T77" s="194">
        <f t="shared" si="40"/>
        <v>1319063827.5776598</v>
      </c>
      <c r="U77" s="194">
        <f t="shared" si="41"/>
        <v>32586086.008044749</v>
      </c>
      <c r="V77" s="194">
        <f t="shared" si="42"/>
        <v>2539311.1327255401</v>
      </c>
      <c r="W77" s="196">
        <f t="shared" si="43"/>
        <v>379517.29677849804</v>
      </c>
      <c r="X77" s="8"/>
      <c r="Y77" s="194">
        <f t="shared" si="44"/>
        <v>1318998483.5776598</v>
      </c>
      <c r="Z77" s="194">
        <f t="shared" si="45"/>
        <v>32579430.008044749</v>
      </c>
      <c r="AA77" s="194">
        <f t="shared" si="46"/>
        <v>2534281.1327255401</v>
      </c>
      <c r="AB77" s="196">
        <f t="shared" si="47"/>
        <v>374580.29677849804</v>
      </c>
      <c r="AC77" s="8"/>
      <c r="AD77" s="194">
        <f t="shared" si="48"/>
        <v>1315369511.4825449</v>
      </c>
      <c r="AE77" s="194">
        <f t="shared" si="49"/>
        <v>31195098.003549866</v>
      </c>
      <c r="AF77" s="194">
        <f t="shared" si="50"/>
        <v>2053328.6091189957</v>
      </c>
      <c r="AG77" s="196">
        <f t="shared" si="51"/>
        <v>141994.48293957213</v>
      </c>
      <c r="AI77" s="194">
        <f t="shared" si="37"/>
        <v>1316750161.9223075</v>
      </c>
      <c r="AJ77" s="194">
        <f t="shared" si="31"/>
        <v>32054169.388291124</v>
      </c>
      <c r="AK77" s="194">
        <f t="shared" si="31"/>
        <v>2268096.4553043097</v>
      </c>
      <c r="AL77" s="196">
        <f t="shared" si="31"/>
        <v>172675.6038231884</v>
      </c>
    </row>
    <row r="78" spans="2:38" s="217" customFormat="1" x14ac:dyDescent="0.3">
      <c r="B78" s="218"/>
      <c r="C78" s="179"/>
      <c r="D78" s="179"/>
      <c r="E78" s="182"/>
      <c r="F78" s="182"/>
      <c r="G78" s="182"/>
      <c r="H78" s="195"/>
      <c r="I78" s="145" t="s">
        <v>1004</v>
      </c>
      <c r="J78" s="208">
        <f>J69*$D$79</f>
        <v>339876487.99009085</v>
      </c>
      <c r="K78" s="208">
        <f t="shared" ref="K78:M78" si="53">K69*$D$79</f>
        <v>10738989.124790527</v>
      </c>
      <c r="L78" s="208">
        <f t="shared" si="53"/>
        <v>1145291.4262235751</v>
      </c>
      <c r="M78" s="208">
        <f t="shared" si="53"/>
        <v>184605.50998945668</v>
      </c>
      <c r="N78" s="207"/>
      <c r="O78" s="182">
        <f>E$80-J78</f>
        <v>561659830.7277751</v>
      </c>
      <c r="P78" s="182">
        <f t="shared" ref="P78:R78" si="54">F$80-K78</f>
        <v>14329044.082184639</v>
      </c>
      <c r="Q78" s="182">
        <f t="shared" si="54"/>
        <v>1144404.3704446713</v>
      </c>
      <c r="R78" s="195">
        <f t="shared" si="54"/>
        <v>177363.66934328445</v>
      </c>
      <c r="S78" s="207"/>
      <c r="T78" s="182">
        <f t="shared" ref="T78" si="55">O78-T$73</f>
        <v>561600734.7277751</v>
      </c>
      <c r="U78" s="182">
        <f t="shared" ref="U78" si="56">P78-U$73</f>
        <v>14318863.082184639</v>
      </c>
      <c r="V78" s="182">
        <f t="shared" ref="V78" si="57">Q78-V$73</f>
        <v>1135579.3704446713</v>
      </c>
      <c r="W78" s="195">
        <f t="shared" ref="W78" si="58">R78-W$73</f>
        <v>168615.66934328445</v>
      </c>
      <c r="X78" s="207"/>
      <c r="Y78" s="182">
        <f t="shared" ref="Y78" si="59">O78-Y$73</f>
        <v>561535390.7277751</v>
      </c>
      <c r="Z78" s="182">
        <f t="shared" ref="Z78" si="60">P78-Z$73</f>
        <v>14312207.082184639</v>
      </c>
      <c r="AA78" s="182">
        <f t="shared" ref="AA78" si="61">Q78-AA$73</f>
        <v>1130549.3704446713</v>
      </c>
      <c r="AB78" s="195">
        <f t="shared" ref="AB78" si="62">R78-AB$73</f>
        <v>163678.66934328445</v>
      </c>
      <c r="AC78" s="207"/>
      <c r="AD78" s="182">
        <f t="shared" ref="AD78" si="63">O78-AD$73</f>
        <v>557906418.63266015</v>
      </c>
      <c r="AE78" s="182">
        <f t="shared" ref="AE78" si="64">P78-AE$73</f>
        <v>12927875.077689756</v>
      </c>
      <c r="AF78" s="195">
        <f t="shared" ref="AF78" si="65">Q78-AF$73</f>
        <v>649596.84683812677</v>
      </c>
      <c r="AG78" s="184">
        <f t="shared" ref="AG78" si="66">R78-AG$73</f>
        <v>-68907.144495641463</v>
      </c>
      <c r="AI78" s="182">
        <f t="shared" si="37"/>
        <v>559287069.07242286</v>
      </c>
      <c r="AJ78" s="182">
        <f t="shared" si="31"/>
        <v>13786946.462431012</v>
      </c>
      <c r="AK78" s="195">
        <f t="shared" si="31"/>
        <v>864364.69302344078</v>
      </c>
      <c r="AL78" s="184">
        <f t="shared" si="31"/>
        <v>-38226.023612025194</v>
      </c>
    </row>
    <row r="79" spans="2:38" x14ac:dyDescent="0.3">
      <c r="B79" s="169" t="s">
        <v>916</v>
      </c>
      <c r="C79" s="180">
        <v>9.7420000000000007E-3</v>
      </c>
      <c r="D79" s="180">
        <v>0.46121200000000001</v>
      </c>
      <c r="I79" s="168" t="s">
        <v>835</v>
      </c>
      <c r="J79" s="101">
        <f>J70*$D$79</f>
        <v>313487394.19265079</v>
      </c>
      <c r="K79" s="101">
        <f t="shared" ref="K79:M79" si="67">K70*$D$79</f>
        <v>10341056.15184645</v>
      </c>
      <c r="L79" s="101">
        <f t="shared" si="67"/>
        <v>1127885.2580616674</v>
      </c>
      <c r="M79" s="101">
        <f t="shared" si="67"/>
        <v>183640.55805884919</v>
      </c>
      <c r="O79" s="182">
        <f>E$80-J79</f>
        <v>588048924.52521515</v>
      </c>
      <c r="P79" s="182">
        <f t="shared" ref="P79:R81" si="68">F$80-K79</f>
        <v>14726977.055128716</v>
      </c>
      <c r="Q79" s="182">
        <f t="shared" si="68"/>
        <v>1161810.5386065789</v>
      </c>
      <c r="R79" s="195">
        <f t="shared" si="68"/>
        <v>178328.62127389194</v>
      </c>
      <c r="T79" s="182">
        <f t="shared" si="40"/>
        <v>587989828.52521515</v>
      </c>
      <c r="U79" s="182">
        <f t="shared" si="41"/>
        <v>14716796.055128716</v>
      </c>
      <c r="V79" s="182">
        <f t="shared" si="42"/>
        <v>1152985.5386065789</v>
      </c>
      <c r="W79" s="195">
        <f t="shared" si="43"/>
        <v>169580.62127389194</v>
      </c>
      <c r="X79" s="212"/>
      <c r="Y79" s="182">
        <f t="shared" si="44"/>
        <v>587924484.52521515</v>
      </c>
      <c r="Z79" s="182">
        <f t="shared" si="45"/>
        <v>14710140.055128716</v>
      </c>
      <c r="AA79" s="182">
        <f t="shared" si="46"/>
        <v>1147955.5386065789</v>
      </c>
      <c r="AB79" s="195">
        <f t="shared" si="47"/>
        <v>164643.62127389194</v>
      </c>
      <c r="AC79" s="212"/>
      <c r="AD79" s="182">
        <f t="shared" si="48"/>
        <v>584295512.4301002</v>
      </c>
      <c r="AE79" s="182">
        <f t="shared" si="49"/>
        <v>13325808.050633833</v>
      </c>
      <c r="AF79" s="195">
        <f t="shared" si="50"/>
        <v>667003.01500003447</v>
      </c>
      <c r="AG79" s="184">
        <f t="shared" si="51"/>
        <v>-67942.192565033969</v>
      </c>
      <c r="AI79" s="182">
        <f t="shared" si="37"/>
        <v>585676162.86986291</v>
      </c>
      <c r="AJ79" s="182">
        <f t="shared" si="31"/>
        <v>14184879.435375089</v>
      </c>
      <c r="AK79" s="195">
        <f t="shared" si="31"/>
        <v>881770.86118534848</v>
      </c>
      <c r="AL79" s="184">
        <f t="shared" si="31"/>
        <v>-37261.071681417699</v>
      </c>
    </row>
    <row r="80" spans="2:38" s="168" customFormat="1" x14ac:dyDescent="0.3">
      <c r="B80" s="169"/>
      <c r="C80" s="180"/>
      <c r="D80" s="179" t="s">
        <v>832</v>
      </c>
      <c r="E80" s="182">
        <f>E72*$D$79</f>
        <v>901536318.71786594</v>
      </c>
      <c r="F80" s="182">
        <f t="shared" ref="F80:H80" si="69">F72*$D$79</f>
        <v>25068033.206975166</v>
      </c>
      <c r="G80" s="182">
        <f t="shared" si="69"/>
        <v>2289695.7966682464</v>
      </c>
      <c r="H80" s="195">
        <f t="shared" si="69"/>
        <v>361969.17933274113</v>
      </c>
      <c r="I80" s="168" t="s">
        <v>836</v>
      </c>
      <c r="J80" s="101">
        <f>J71*$D$79</f>
        <v>298141121.18429345</v>
      </c>
      <c r="K80" s="101">
        <f t="shared" ref="K80:M81" si="70">K71*$D$79</f>
        <v>10109642.822965126</v>
      </c>
      <c r="L80" s="101">
        <f t="shared" si="70"/>
        <v>1117762.9018075122</v>
      </c>
      <c r="M80" s="101">
        <f t="shared" si="70"/>
        <v>183079.40139766509</v>
      </c>
      <c r="O80" s="182">
        <f t="shared" ref="O80:O81" si="71">E$80-J80</f>
        <v>603395197.53357244</v>
      </c>
      <c r="P80" s="182">
        <f t="shared" si="68"/>
        <v>14958390.384010039</v>
      </c>
      <c r="Q80" s="182">
        <f t="shared" si="68"/>
        <v>1171932.8948607342</v>
      </c>
      <c r="R80" s="195">
        <f t="shared" si="68"/>
        <v>178889.77793507604</v>
      </c>
      <c r="T80" s="182">
        <f t="shared" si="40"/>
        <v>603336101.53357244</v>
      </c>
      <c r="U80" s="182">
        <f t="shared" si="41"/>
        <v>14948209.384010039</v>
      </c>
      <c r="V80" s="182">
        <f t="shared" si="42"/>
        <v>1163107.8948607342</v>
      </c>
      <c r="W80" s="195">
        <f t="shared" si="43"/>
        <v>170141.77793507604</v>
      </c>
      <c r="X80" s="212"/>
      <c r="Y80" s="182">
        <f t="shared" si="44"/>
        <v>603270757.53357244</v>
      </c>
      <c r="Z80" s="182">
        <f t="shared" si="45"/>
        <v>14941553.384010039</v>
      </c>
      <c r="AA80" s="182">
        <f t="shared" si="46"/>
        <v>1158077.8948607342</v>
      </c>
      <c r="AB80" s="195">
        <f t="shared" si="47"/>
        <v>165204.77793507604</v>
      </c>
      <c r="AC80" s="212"/>
      <c r="AD80" s="182">
        <f t="shared" si="48"/>
        <v>599641785.43845749</v>
      </c>
      <c r="AE80" s="182">
        <f t="shared" si="49"/>
        <v>13557221.379515156</v>
      </c>
      <c r="AF80" s="195">
        <f t="shared" si="50"/>
        <v>677125.37125418975</v>
      </c>
      <c r="AG80" s="184">
        <f t="shared" si="51"/>
        <v>-67381.035903849872</v>
      </c>
      <c r="AI80" s="182">
        <f t="shared" si="37"/>
        <v>601022435.8782202</v>
      </c>
      <c r="AJ80" s="182">
        <f t="shared" si="31"/>
        <v>14416292.764256412</v>
      </c>
      <c r="AK80" s="195">
        <f t="shared" si="31"/>
        <v>891893.21743950376</v>
      </c>
      <c r="AL80" s="184">
        <f t="shared" si="31"/>
        <v>-36699.915020233602</v>
      </c>
    </row>
    <row r="81" spans="2:38" s="168" customFormat="1" x14ac:dyDescent="0.3">
      <c r="B81" s="169"/>
      <c r="C81" s="180"/>
      <c r="D81" s="179" t="s">
        <v>833</v>
      </c>
      <c r="E81" s="182">
        <f>E72*$C$79</f>
        <v>19042797.708969954</v>
      </c>
      <c r="F81" s="195">
        <f t="shared" ref="F81:H81" si="72">F72*$C$79</f>
        <v>529502.22349451459</v>
      </c>
      <c r="G81" s="183">
        <f t="shared" si="72"/>
        <v>48364.345357757513</v>
      </c>
      <c r="H81" s="184">
        <f t="shared" si="72"/>
        <v>7645.7328626739209</v>
      </c>
      <c r="I81" s="8" t="s">
        <v>837</v>
      </c>
      <c r="J81" s="170">
        <f>J72*$D$79</f>
        <v>293140996.88876623</v>
      </c>
      <c r="K81" s="170">
        <f t="shared" si="70"/>
        <v>10034243.70766083</v>
      </c>
      <c r="L81" s="170">
        <f t="shared" si="70"/>
        <v>1114464.8346216346</v>
      </c>
      <c r="M81" s="170">
        <f t="shared" si="70"/>
        <v>182896.5652749365</v>
      </c>
      <c r="N81" s="8"/>
      <c r="O81" s="194">
        <f t="shared" si="71"/>
        <v>608395321.82909966</v>
      </c>
      <c r="P81" s="194">
        <f t="shared" si="68"/>
        <v>15033789.499314336</v>
      </c>
      <c r="Q81" s="194">
        <f t="shared" si="68"/>
        <v>1175230.9620466118</v>
      </c>
      <c r="R81" s="196">
        <f t="shared" si="68"/>
        <v>179072.61405780463</v>
      </c>
      <c r="S81" s="8"/>
      <c r="T81" s="194">
        <f t="shared" si="40"/>
        <v>608336225.82909966</v>
      </c>
      <c r="U81" s="194">
        <f t="shared" si="41"/>
        <v>15023608.499314336</v>
      </c>
      <c r="V81" s="194">
        <f t="shared" si="42"/>
        <v>1166405.9620466118</v>
      </c>
      <c r="W81" s="196">
        <f t="shared" si="43"/>
        <v>170324.61405780463</v>
      </c>
      <c r="X81" s="8"/>
      <c r="Y81" s="194">
        <f t="shared" si="44"/>
        <v>608270881.82909966</v>
      </c>
      <c r="Z81" s="194">
        <f t="shared" si="45"/>
        <v>15016952.499314336</v>
      </c>
      <c r="AA81" s="194">
        <f t="shared" si="46"/>
        <v>1161375.9620466118</v>
      </c>
      <c r="AB81" s="196">
        <f t="shared" si="47"/>
        <v>165387.61405780463</v>
      </c>
      <c r="AC81" s="8"/>
      <c r="AD81" s="194">
        <f t="shared" si="48"/>
        <v>604641909.73398471</v>
      </c>
      <c r="AE81" s="194">
        <f t="shared" si="49"/>
        <v>13632620.494819453</v>
      </c>
      <c r="AF81" s="196">
        <f t="shared" si="50"/>
        <v>680423.43844006734</v>
      </c>
      <c r="AG81" s="197">
        <f t="shared" si="51"/>
        <v>-67198.199781121279</v>
      </c>
      <c r="AI81" s="194">
        <f t="shared" si="37"/>
        <v>606022560.17374742</v>
      </c>
      <c r="AJ81" s="194">
        <f t="shared" si="31"/>
        <v>14491691.879560709</v>
      </c>
      <c r="AK81" s="196">
        <f t="shared" si="31"/>
        <v>895191.28462538135</v>
      </c>
      <c r="AL81" s="197">
        <f t="shared" si="31"/>
        <v>-36517.078897505009</v>
      </c>
    </row>
    <row r="82" spans="2:38" s="217" customFormat="1" x14ac:dyDescent="0.3">
      <c r="B82" s="218"/>
      <c r="C82" s="180"/>
      <c r="D82" s="179"/>
      <c r="E82" s="182"/>
      <c r="F82" s="195"/>
      <c r="G82" s="183"/>
      <c r="H82" s="184"/>
      <c r="I82" s="145" t="s">
        <v>1004</v>
      </c>
      <c r="J82" s="208">
        <f>J69*$D$83</f>
        <v>7741347.8104123576</v>
      </c>
      <c r="K82" s="208">
        <f t="shared" ref="K82:M82" si="73">K69*$D$83</f>
        <v>244601.35633054754</v>
      </c>
      <c r="L82" s="208">
        <f t="shared" si="73"/>
        <v>26086.238936711656</v>
      </c>
      <c r="M82" s="208">
        <f t="shared" si="73"/>
        <v>4204.7494046972815</v>
      </c>
      <c r="N82" s="207"/>
      <c r="O82" s="182">
        <f>E$84-J82</f>
        <v>12792894.638030399</v>
      </c>
      <c r="P82" s="195">
        <f t="shared" ref="P82:R82" si="74">F$84-K82</f>
        <v>326371.83786057093</v>
      </c>
      <c r="Q82" s="183">
        <f t="shared" si="74"/>
        <v>26066.034516710912</v>
      </c>
      <c r="R82" s="184">
        <f t="shared" si="74"/>
        <v>4039.8024042115185</v>
      </c>
      <c r="S82" s="207"/>
      <c r="T82" s="182">
        <f t="shared" ref="T82" si="75">O82-T$73</f>
        <v>12733798.638030399</v>
      </c>
      <c r="U82" s="195">
        <f t="shared" ref="U82" si="76">P82-U$73</f>
        <v>316190.83786057093</v>
      </c>
      <c r="V82" s="183">
        <f t="shared" ref="V82" si="77">Q82-V$73</f>
        <v>17241.034516710912</v>
      </c>
      <c r="W82" s="184">
        <f t="shared" ref="W82" si="78">R82-W$73</f>
        <v>-4708.1975957884815</v>
      </c>
      <c r="X82" s="207"/>
      <c r="Y82" s="182">
        <f t="shared" ref="Y82" si="79">O82-Y$73</f>
        <v>12668454.638030399</v>
      </c>
      <c r="Z82" s="195">
        <f t="shared" ref="Z82" si="80">P82-Z$73</f>
        <v>309534.83786057093</v>
      </c>
      <c r="AA82" s="183">
        <f t="shared" ref="AA82" si="81">Q82-AA$73</f>
        <v>12211.034516710912</v>
      </c>
      <c r="AB82" s="184">
        <f t="shared" ref="AB82" si="82">R82-AB$73</f>
        <v>-9645.1975957884824</v>
      </c>
      <c r="AC82" s="207"/>
      <c r="AD82" s="182">
        <f t="shared" ref="AD82" si="83">O82-AD$73</f>
        <v>9039482.5429154132</v>
      </c>
      <c r="AE82" s="184">
        <f t="shared" ref="AE82" si="84">P82-AE$73</f>
        <v>-1074797.1666343117</v>
      </c>
      <c r="AF82" s="184">
        <f t="shared" ref="AF82" si="85">Q82-AF$73</f>
        <v>-468741.48908983357</v>
      </c>
      <c r="AG82" s="184">
        <f t="shared" ref="AG82" si="86">R82-AG$73</f>
        <v>-242231.0114347144</v>
      </c>
      <c r="AI82" s="182">
        <f t="shared" si="37"/>
        <v>10420132.982678145</v>
      </c>
      <c r="AJ82" s="184">
        <f t="shared" si="31"/>
        <v>-215725.78189305583</v>
      </c>
      <c r="AK82" s="184">
        <f t="shared" si="31"/>
        <v>-253973.64290451957</v>
      </c>
      <c r="AL82" s="184">
        <f t="shared" si="31"/>
        <v>-211549.89055109813</v>
      </c>
    </row>
    <row r="83" spans="2:38" x14ac:dyDescent="0.3">
      <c r="B83" s="169" t="s">
        <v>917</v>
      </c>
      <c r="C83" s="180">
        <v>2.3630000000000001E-3</v>
      </c>
      <c r="D83" s="180">
        <v>1.0505E-2</v>
      </c>
      <c r="I83" s="168" t="s">
        <v>835</v>
      </c>
      <c r="J83" s="208">
        <f t="shared" ref="J83:M85" si="87">J70*$D$83</f>
        <v>7140284.8928340916</v>
      </c>
      <c r="K83" s="208">
        <f t="shared" si="87"/>
        <v>235537.65920042619</v>
      </c>
      <c r="L83" s="208">
        <f t="shared" si="87"/>
        <v>25689.779615313168</v>
      </c>
      <c r="M83" s="208">
        <f t="shared" si="87"/>
        <v>4182.7707483938202</v>
      </c>
      <c r="O83" s="182">
        <f>E$84-J83</f>
        <v>13393957.555608666</v>
      </c>
      <c r="P83" s="195">
        <f t="shared" ref="P83:R85" si="88">F$84-K83</f>
        <v>335435.53499069228</v>
      </c>
      <c r="Q83" s="183">
        <f t="shared" si="88"/>
        <v>26462.4938381094</v>
      </c>
      <c r="R83" s="184">
        <f t="shared" si="88"/>
        <v>4061.7810605149798</v>
      </c>
      <c r="T83" s="182">
        <f t="shared" si="40"/>
        <v>13334861.555608666</v>
      </c>
      <c r="U83" s="195">
        <f t="shared" si="41"/>
        <v>325254.53499069228</v>
      </c>
      <c r="V83" s="183">
        <f t="shared" si="42"/>
        <v>17637.4938381094</v>
      </c>
      <c r="W83" s="184">
        <f t="shared" si="43"/>
        <v>-4686.2189394850202</v>
      </c>
      <c r="X83" s="212"/>
      <c r="Y83" s="182">
        <f t="shared" si="44"/>
        <v>13269517.555608666</v>
      </c>
      <c r="Z83" s="195">
        <f t="shared" si="45"/>
        <v>318598.53499069228</v>
      </c>
      <c r="AA83" s="183">
        <f t="shared" si="46"/>
        <v>12607.4938381094</v>
      </c>
      <c r="AB83" s="184">
        <f t="shared" si="47"/>
        <v>-9623.2189394850211</v>
      </c>
      <c r="AC83" s="212"/>
      <c r="AD83" s="182">
        <f t="shared" si="48"/>
        <v>9640545.4604936801</v>
      </c>
      <c r="AE83" s="184">
        <f t="shared" si="49"/>
        <v>-1065733.4695041904</v>
      </c>
      <c r="AF83" s="184">
        <f t="shared" si="50"/>
        <v>-468345.02976843505</v>
      </c>
      <c r="AG83" s="184">
        <f t="shared" si="51"/>
        <v>-242209.03277841094</v>
      </c>
      <c r="AI83" s="182">
        <f t="shared" si="37"/>
        <v>11021195.900256412</v>
      </c>
      <c r="AJ83" s="184">
        <f t="shared" si="31"/>
        <v>-206662.08476293448</v>
      </c>
      <c r="AK83" s="184">
        <f t="shared" si="31"/>
        <v>-253577.18358312108</v>
      </c>
      <c r="AL83" s="184">
        <f t="shared" si="31"/>
        <v>-211527.91189479467</v>
      </c>
    </row>
    <row r="84" spans="2:38" s="168" customFormat="1" x14ac:dyDescent="0.3">
      <c r="B84" s="169"/>
      <c r="C84" s="180"/>
      <c r="D84" s="179" t="s">
        <v>832</v>
      </c>
      <c r="E84" s="182">
        <f>E72*$D$83</f>
        <v>20534242.448442757</v>
      </c>
      <c r="F84" s="195">
        <f t="shared" ref="F84:H84" si="89">F72*$D$83</f>
        <v>570973.19419111847</v>
      </c>
      <c r="G84" s="183">
        <f t="shared" si="89"/>
        <v>52152.273453422567</v>
      </c>
      <c r="H84" s="184">
        <f t="shared" si="89"/>
        <v>8244.5518089088</v>
      </c>
      <c r="I84" s="168" t="s">
        <v>836</v>
      </c>
      <c r="J84" s="208">
        <f t="shared" si="87"/>
        <v>6790743.6884578094</v>
      </c>
      <c r="K84" s="208">
        <f t="shared" si="87"/>
        <v>230266.77071552488</v>
      </c>
      <c r="L84" s="208">
        <f t="shared" si="87"/>
        <v>25459.223271484516</v>
      </c>
      <c r="M84" s="208">
        <f t="shared" si="87"/>
        <v>4169.9893144204225</v>
      </c>
      <c r="O84" s="182">
        <f t="shared" ref="O84:O85" si="90">E$84-J84</f>
        <v>13743498.759984948</v>
      </c>
      <c r="P84" s="195">
        <f t="shared" si="88"/>
        <v>340706.42347559356</v>
      </c>
      <c r="Q84" s="183">
        <f t="shared" si="88"/>
        <v>26693.050181938052</v>
      </c>
      <c r="R84" s="184">
        <f t="shared" si="88"/>
        <v>4074.5624944883775</v>
      </c>
      <c r="T84" s="182">
        <f t="shared" si="40"/>
        <v>13684402.759984948</v>
      </c>
      <c r="U84" s="195">
        <f t="shared" si="41"/>
        <v>330525.42347559356</v>
      </c>
      <c r="V84" s="183">
        <f t="shared" si="42"/>
        <v>17868.050181938052</v>
      </c>
      <c r="W84" s="184">
        <f t="shared" si="43"/>
        <v>-4673.4375055116225</v>
      </c>
      <c r="X84" s="212"/>
      <c r="Y84" s="182">
        <f t="shared" si="44"/>
        <v>13619058.759984948</v>
      </c>
      <c r="Z84" s="195">
        <f t="shared" si="45"/>
        <v>323869.42347559356</v>
      </c>
      <c r="AA84" s="183">
        <f t="shared" si="46"/>
        <v>12838.050181938052</v>
      </c>
      <c r="AB84" s="184">
        <f t="shared" si="47"/>
        <v>-9610.4375055116216</v>
      </c>
      <c r="AC84" s="212"/>
      <c r="AD84" s="182">
        <f t="shared" si="48"/>
        <v>9990086.6648699623</v>
      </c>
      <c r="AE84" s="184">
        <f t="shared" si="49"/>
        <v>-1060462.5810192891</v>
      </c>
      <c r="AF84" s="184">
        <f t="shared" si="50"/>
        <v>-468114.47342460643</v>
      </c>
      <c r="AG84" s="184">
        <f t="shared" si="51"/>
        <v>-242196.25134443754</v>
      </c>
      <c r="AI84" s="182">
        <f t="shared" si="37"/>
        <v>11370737.104632694</v>
      </c>
      <c r="AJ84" s="184">
        <f t="shared" si="31"/>
        <v>-201391.1962780332</v>
      </c>
      <c r="AK84" s="184">
        <f t="shared" si="31"/>
        <v>-253346.62723929243</v>
      </c>
      <c r="AL84" s="184">
        <f t="shared" si="31"/>
        <v>-211515.13046082127</v>
      </c>
    </row>
    <row r="85" spans="2:38" s="168" customFormat="1" x14ac:dyDescent="0.3">
      <c r="B85" s="169"/>
      <c r="C85" s="180"/>
      <c r="D85" s="179" t="s">
        <v>833</v>
      </c>
      <c r="E85" s="182">
        <f>E72*$C$83</f>
        <v>4618982.8563227262</v>
      </c>
      <c r="F85" s="195">
        <f t="shared" ref="F85:H85" si="91">F72*$C$83</f>
        <v>128434.99836969185</v>
      </c>
      <c r="G85" s="183">
        <f t="shared" si="91"/>
        <v>11731.158702564257</v>
      </c>
      <c r="H85" s="184">
        <f t="shared" si="91"/>
        <v>1854.5336434508802</v>
      </c>
      <c r="I85" s="8" t="s">
        <v>837</v>
      </c>
      <c r="J85" s="170">
        <f t="shared" si="87"/>
        <v>6676856.1362594413</v>
      </c>
      <c r="K85" s="170">
        <f t="shared" si="87"/>
        <v>228549.40927160834</v>
      </c>
      <c r="L85" s="170">
        <f t="shared" si="87"/>
        <v>25384.103379140764</v>
      </c>
      <c r="M85" s="170">
        <f t="shared" si="87"/>
        <v>4165.8248662506785</v>
      </c>
      <c r="N85" s="8"/>
      <c r="O85" s="194">
        <f t="shared" si="90"/>
        <v>13857386.312183317</v>
      </c>
      <c r="P85" s="196">
        <f t="shared" si="88"/>
        <v>342423.78491951013</v>
      </c>
      <c r="Q85" s="193">
        <f t="shared" si="88"/>
        <v>26768.170074281803</v>
      </c>
      <c r="R85" s="197">
        <f t="shared" si="88"/>
        <v>4078.7269426581215</v>
      </c>
      <c r="S85" s="8"/>
      <c r="T85" s="194">
        <f t="shared" si="40"/>
        <v>13798290.312183317</v>
      </c>
      <c r="U85" s="196">
        <f t="shared" si="41"/>
        <v>332242.78491951013</v>
      </c>
      <c r="V85" s="193">
        <f t="shared" si="42"/>
        <v>17943.170074281803</v>
      </c>
      <c r="W85" s="197">
        <f t="shared" si="43"/>
        <v>-4669.2730573418785</v>
      </c>
      <c r="X85" s="8"/>
      <c r="Y85" s="194">
        <f t="shared" si="44"/>
        <v>13732946.312183317</v>
      </c>
      <c r="Z85" s="196">
        <f t="shared" si="45"/>
        <v>325586.78491951013</v>
      </c>
      <c r="AA85" s="193">
        <f t="shared" si="46"/>
        <v>12913.170074281803</v>
      </c>
      <c r="AB85" s="197">
        <f t="shared" si="47"/>
        <v>-9606.2730573418776</v>
      </c>
      <c r="AC85" s="8"/>
      <c r="AD85" s="194">
        <f t="shared" si="48"/>
        <v>10103974.217068331</v>
      </c>
      <c r="AE85" s="197">
        <f t="shared" si="49"/>
        <v>-1058745.2195753725</v>
      </c>
      <c r="AF85" s="197">
        <f t="shared" si="50"/>
        <v>-468039.35353226267</v>
      </c>
      <c r="AG85" s="197">
        <f t="shared" si="51"/>
        <v>-242192.08689626778</v>
      </c>
      <c r="AI85" s="194">
        <f t="shared" si="37"/>
        <v>11484624.656831063</v>
      </c>
      <c r="AJ85" s="197">
        <f t="shared" si="31"/>
        <v>-199673.83483411663</v>
      </c>
      <c r="AK85" s="197">
        <f t="shared" si="31"/>
        <v>-253271.50734694867</v>
      </c>
      <c r="AL85" s="197">
        <f t="shared" si="31"/>
        <v>-211510.96601265151</v>
      </c>
    </row>
    <row r="86" spans="2:38" s="217" customFormat="1" x14ac:dyDescent="0.3">
      <c r="B86" s="218"/>
      <c r="C86" s="180"/>
      <c r="D86" s="179"/>
      <c r="E86" s="182"/>
      <c r="F86" s="195"/>
      <c r="G86" s="183"/>
      <c r="H86" s="184"/>
      <c r="I86" s="145" t="s">
        <v>1004</v>
      </c>
      <c r="J86" s="208">
        <f>J69*$D$87</f>
        <v>2539427.3731252719</v>
      </c>
      <c r="K86" s="208">
        <f t="shared" ref="K86:M86" si="92">K69*$D$87</f>
        <v>80237.627217045854</v>
      </c>
      <c r="L86" s="208">
        <f t="shared" si="92"/>
        <v>8557.1803308813287</v>
      </c>
      <c r="M86" s="208">
        <f t="shared" si="92"/>
        <v>1379.3018989611451</v>
      </c>
      <c r="N86" s="207"/>
      <c r="O86" s="182">
        <f>E$88-J86</f>
        <v>4196507.8460402433</v>
      </c>
      <c r="P86" s="195">
        <f t="shared" ref="P86:R86" si="93">F$88-K86</f>
        <v>107061.14738386743</v>
      </c>
      <c r="Q86" s="184">
        <f t="shared" si="93"/>
        <v>8550.5525887278236</v>
      </c>
      <c r="R86" s="184">
        <f t="shared" si="93"/>
        <v>1325.1936301678147</v>
      </c>
      <c r="S86" s="207"/>
      <c r="T86" s="182">
        <f t="shared" ref="T86" si="94">O86-T$73</f>
        <v>4137411.8460402433</v>
      </c>
      <c r="U86" s="195">
        <f t="shared" ref="U86" si="95">P86-U$73</f>
        <v>96880.147383867428</v>
      </c>
      <c r="V86" s="184">
        <f t="shared" ref="V86" si="96">Q86-V$73</f>
        <v>-274.4474112721764</v>
      </c>
      <c r="W86" s="184">
        <f t="shared" ref="W86" si="97">R86-W$73</f>
        <v>-7422.8063698321857</v>
      </c>
      <c r="X86" s="207"/>
      <c r="Y86" s="182">
        <f t="shared" ref="Y86" si="98">O86-Y$73</f>
        <v>4072067.8460402433</v>
      </c>
      <c r="Z86" s="183">
        <f t="shared" ref="Z86" si="99">P86-Z$73</f>
        <v>90224.147383867428</v>
      </c>
      <c r="AA86" s="184">
        <f t="shared" ref="AA86" si="100">Q86-AA$73</f>
        <v>-5304.4474112721764</v>
      </c>
      <c r="AB86" s="184">
        <f t="shared" ref="AB86" si="101">R86-AB$73</f>
        <v>-12359.806369832186</v>
      </c>
      <c r="AC86" s="207"/>
      <c r="AD86" s="195">
        <f t="shared" ref="AD86" si="102">O86-AD$73</f>
        <v>443095.75092525734</v>
      </c>
      <c r="AE86" s="184">
        <f t="shared" ref="AE86" si="103">P86-AE$73</f>
        <v>-1294107.8571110151</v>
      </c>
      <c r="AF86" s="184">
        <f t="shared" ref="AF86" si="104">Q86-AF$73</f>
        <v>-486256.97101781663</v>
      </c>
      <c r="AG86" s="184">
        <f t="shared" ref="AG86" si="105">R86-AG$73</f>
        <v>-244945.6202087581</v>
      </c>
      <c r="AI86" s="182">
        <f t="shared" si="37"/>
        <v>1823746.1906879903</v>
      </c>
      <c r="AJ86" s="184">
        <f t="shared" si="31"/>
        <v>-435036.47236975934</v>
      </c>
      <c r="AK86" s="184">
        <f t="shared" si="31"/>
        <v>-271489.12483250262</v>
      </c>
      <c r="AL86" s="184">
        <f t="shared" si="31"/>
        <v>-214264.49932514183</v>
      </c>
    </row>
    <row r="87" spans="2:38" x14ac:dyDescent="0.3">
      <c r="B87" s="169" t="s">
        <v>918</v>
      </c>
      <c r="C87" s="180">
        <v>3.0200000000000002E-4</v>
      </c>
      <c r="D87" s="180">
        <v>3.4459999999999998E-3</v>
      </c>
      <c r="I87" s="168" t="s">
        <v>835</v>
      </c>
      <c r="J87" s="101">
        <f>J70*$D$87</f>
        <v>2342258.1380967423</v>
      </c>
      <c r="K87" s="101">
        <f t="shared" ref="K87:M87" si="106">K70*$D$87</f>
        <v>77264.423950944183</v>
      </c>
      <c r="L87" s="101">
        <f t="shared" si="106"/>
        <v>8427.1280870413302</v>
      </c>
      <c r="M87" s="101">
        <f t="shared" si="106"/>
        <v>1372.0921464983439</v>
      </c>
      <c r="O87" s="182">
        <f>E$88-J87</f>
        <v>4393677.0810687728</v>
      </c>
      <c r="P87" s="195">
        <f t="shared" ref="P87:R89" si="107">F$88-K87</f>
        <v>110034.3506499691</v>
      </c>
      <c r="Q87" s="184">
        <f t="shared" si="107"/>
        <v>8680.6048325678221</v>
      </c>
      <c r="R87" s="184">
        <f t="shared" si="107"/>
        <v>1332.4033826306159</v>
      </c>
      <c r="T87" s="182">
        <f t="shared" si="40"/>
        <v>4334581.0810687728</v>
      </c>
      <c r="U87" s="195">
        <f t="shared" si="41"/>
        <v>99853.350649969099</v>
      </c>
      <c r="V87" s="184">
        <f t="shared" si="42"/>
        <v>-144.39516743217791</v>
      </c>
      <c r="W87" s="184">
        <f t="shared" si="43"/>
        <v>-7415.5966173693841</v>
      </c>
      <c r="X87" s="212"/>
      <c r="Y87" s="182">
        <f t="shared" si="44"/>
        <v>4269237.0810687728</v>
      </c>
      <c r="Z87" s="183">
        <f t="shared" si="45"/>
        <v>93197.350649969099</v>
      </c>
      <c r="AA87" s="184">
        <f t="shared" si="46"/>
        <v>-5174.3951674321779</v>
      </c>
      <c r="AB87" s="184">
        <f t="shared" si="47"/>
        <v>-12352.596617369385</v>
      </c>
      <c r="AC87" s="212"/>
      <c r="AD87" s="195">
        <f t="shared" si="48"/>
        <v>640264.98595378688</v>
      </c>
      <c r="AE87" s="184">
        <f t="shared" si="49"/>
        <v>-1291134.6538449135</v>
      </c>
      <c r="AF87" s="184">
        <f t="shared" si="50"/>
        <v>-486126.91877397668</v>
      </c>
      <c r="AG87" s="184">
        <f t="shared" si="51"/>
        <v>-244938.4104562953</v>
      </c>
      <c r="AI87" s="182">
        <f t="shared" si="37"/>
        <v>2020915.4257165198</v>
      </c>
      <c r="AJ87" s="184">
        <f t="shared" si="31"/>
        <v>-432063.26910365769</v>
      </c>
      <c r="AK87" s="184">
        <f t="shared" si="31"/>
        <v>-271359.07258866268</v>
      </c>
      <c r="AL87" s="184">
        <f t="shared" si="31"/>
        <v>-214257.28957267903</v>
      </c>
    </row>
    <row r="88" spans="2:38" s="168" customFormat="1" x14ac:dyDescent="0.3">
      <c r="B88" s="169"/>
      <c r="C88" s="180"/>
      <c r="D88" s="179" t="s">
        <v>832</v>
      </c>
      <c r="E88" s="182">
        <f>E72*$D$87</f>
        <v>6735935.2191655152</v>
      </c>
      <c r="F88" s="195">
        <f t="shared" ref="F88:H88" si="108">F72*$D$87</f>
        <v>187298.77460091328</v>
      </c>
      <c r="G88" s="183">
        <f t="shared" si="108"/>
        <v>17107.732919609152</v>
      </c>
      <c r="H88" s="184">
        <f t="shared" si="108"/>
        <v>2704.4955291289598</v>
      </c>
      <c r="I88" s="168" t="s">
        <v>836</v>
      </c>
      <c r="J88" s="101">
        <f>J71*$D$87</f>
        <v>2227596.6444955361</v>
      </c>
      <c r="K88" s="101">
        <f t="shared" ref="K88:M89" si="109">K71*$D$87</f>
        <v>75535.391897734284</v>
      </c>
      <c r="L88" s="101">
        <f t="shared" si="109"/>
        <v>8351.497705238995</v>
      </c>
      <c r="M88" s="101">
        <f t="shared" si="109"/>
        <v>1367.8993981430533</v>
      </c>
      <c r="O88" s="182">
        <f t="shared" ref="O88:O89" si="110">E$88-J88</f>
        <v>4508338.5746699795</v>
      </c>
      <c r="P88" s="195">
        <f t="shared" si="107"/>
        <v>111763.382703179</v>
      </c>
      <c r="Q88" s="184">
        <f t="shared" si="107"/>
        <v>8756.2352143701573</v>
      </c>
      <c r="R88" s="184">
        <f t="shared" si="107"/>
        <v>1336.5961309859065</v>
      </c>
      <c r="T88" s="182">
        <f t="shared" si="40"/>
        <v>4449242.5746699795</v>
      </c>
      <c r="U88" s="195">
        <f t="shared" si="41"/>
        <v>101582.382703179</v>
      </c>
      <c r="V88" s="184">
        <f t="shared" si="42"/>
        <v>-68.764785629842663</v>
      </c>
      <c r="W88" s="184">
        <f t="shared" si="43"/>
        <v>-7411.4038690140933</v>
      </c>
      <c r="X88" s="212"/>
      <c r="Y88" s="182">
        <f t="shared" si="44"/>
        <v>4383898.5746699795</v>
      </c>
      <c r="Z88" s="183">
        <f t="shared" si="45"/>
        <v>94926.382703178999</v>
      </c>
      <c r="AA88" s="184">
        <f t="shared" si="46"/>
        <v>-5098.7647856298427</v>
      </c>
      <c r="AB88" s="184">
        <f t="shared" si="47"/>
        <v>-12348.403869014093</v>
      </c>
      <c r="AC88" s="212"/>
      <c r="AD88" s="195">
        <f t="shared" si="48"/>
        <v>754926.47955499357</v>
      </c>
      <c r="AE88" s="184">
        <f t="shared" si="49"/>
        <v>-1289405.6217917036</v>
      </c>
      <c r="AF88" s="184">
        <f t="shared" si="50"/>
        <v>-486051.28839217429</v>
      </c>
      <c r="AG88" s="184">
        <f t="shared" si="51"/>
        <v>-244934.21770794</v>
      </c>
      <c r="AI88" s="182">
        <f t="shared" si="37"/>
        <v>2135576.9193177265</v>
      </c>
      <c r="AJ88" s="184">
        <f t="shared" si="31"/>
        <v>-430334.23705044773</v>
      </c>
      <c r="AK88" s="184">
        <f t="shared" si="31"/>
        <v>-271283.44220686029</v>
      </c>
      <c r="AL88" s="184">
        <f t="shared" si="31"/>
        <v>-214253.09682432373</v>
      </c>
    </row>
    <row r="89" spans="2:38" s="168" customFormat="1" x14ac:dyDescent="0.3">
      <c r="B89" s="169"/>
      <c r="C89" s="180"/>
      <c r="D89" s="179" t="s">
        <v>833</v>
      </c>
      <c r="E89" s="195">
        <f>E72*$C$87</f>
        <v>590322.81955542252</v>
      </c>
      <c r="F89" s="183">
        <f t="shared" ref="F89:H89" si="111">F72*$C$87</f>
        <v>16414.460223295362</v>
      </c>
      <c r="G89" s="184">
        <f t="shared" si="111"/>
        <v>1499.2847770522242</v>
      </c>
      <c r="H89" s="184">
        <f t="shared" si="111"/>
        <v>237.01614909952002</v>
      </c>
      <c r="I89" s="8" t="s">
        <v>837</v>
      </c>
      <c r="J89" s="170">
        <f>J72*$D$87</f>
        <v>2190237.6245168997</v>
      </c>
      <c r="K89" s="170">
        <f t="shared" si="109"/>
        <v>74972.038491191081</v>
      </c>
      <c r="L89" s="170">
        <f t="shared" si="109"/>
        <v>8326.8558062369411</v>
      </c>
      <c r="M89" s="170">
        <f t="shared" si="109"/>
        <v>1366.5333164302558</v>
      </c>
      <c r="N89" s="8"/>
      <c r="O89" s="194">
        <f t="shared" si="110"/>
        <v>4545697.5946486155</v>
      </c>
      <c r="P89" s="196">
        <f t="shared" si="107"/>
        <v>112326.7361097222</v>
      </c>
      <c r="Q89" s="197">
        <f t="shared" si="107"/>
        <v>8780.8771133722112</v>
      </c>
      <c r="R89" s="197">
        <f t="shared" si="107"/>
        <v>1337.962212698704</v>
      </c>
      <c r="S89" s="8"/>
      <c r="T89" s="194">
        <f t="shared" si="40"/>
        <v>4486601.5946486155</v>
      </c>
      <c r="U89" s="196">
        <f t="shared" si="41"/>
        <v>102145.7361097222</v>
      </c>
      <c r="V89" s="197">
        <f t="shared" si="42"/>
        <v>-44.12288662778883</v>
      </c>
      <c r="W89" s="197">
        <f t="shared" si="43"/>
        <v>-7410.0377873012958</v>
      </c>
      <c r="X89" s="8"/>
      <c r="Y89" s="194">
        <f t="shared" si="44"/>
        <v>4421257.5946486155</v>
      </c>
      <c r="Z89" s="193">
        <f t="shared" si="45"/>
        <v>95489.736109722202</v>
      </c>
      <c r="AA89" s="197">
        <f t="shared" si="46"/>
        <v>-5074.1228866277888</v>
      </c>
      <c r="AB89" s="197">
        <f t="shared" si="47"/>
        <v>-12347.037787301297</v>
      </c>
      <c r="AC89" s="8"/>
      <c r="AD89" s="196">
        <f t="shared" si="48"/>
        <v>792285.49953362951</v>
      </c>
      <c r="AE89" s="197">
        <f t="shared" si="49"/>
        <v>-1288842.2683851605</v>
      </c>
      <c r="AF89" s="197">
        <f t="shared" si="50"/>
        <v>-486026.64649317227</v>
      </c>
      <c r="AG89" s="197">
        <f t="shared" si="51"/>
        <v>-244932.8516262272</v>
      </c>
      <c r="AI89" s="194">
        <f t="shared" si="37"/>
        <v>2172935.9392963625</v>
      </c>
      <c r="AJ89" s="197">
        <f t="shared" si="31"/>
        <v>-429770.88364390458</v>
      </c>
      <c r="AK89" s="197">
        <f t="shared" si="31"/>
        <v>-271258.80030785827</v>
      </c>
      <c r="AL89" s="197">
        <f t="shared" si="31"/>
        <v>-214251.73074261093</v>
      </c>
    </row>
    <row r="90" spans="2:38" s="217" customFormat="1" x14ac:dyDescent="0.3">
      <c r="B90" s="218"/>
      <c r="C90" s="180"/>
      <c r="D90" s="179"/>
      <c r="E90" s="195"/>
      <c r="F90" s="183"/>
      <c r="G90" s="184"/>
      <c r="H90" s="184"/>
      <c r="I90" s="145" t="s">
        <v>1004</v>
      </c>
      <c r="J90" s="208">
        <f>J69*$D$91</f>
        <v>385409.31983299984</v>
      </c>
      <c r="K90" s="208">
        <f t="shared" ref="K90:M90" si="112">K69*$D$91</f>
        <v>12177.67818761317</v>
      </c>
      <c r="L90" s="208">
        <f t="shared" si="112"/>
        <v>1298.7246990861681</v>
      </c>
      <c r="M90" s="208">
        <f t="shared" si="112"/>
        <v>209.33688135713263</v>
      </c>
      <c r="N90" s="207"/>
      <c r="O90" s="195">
        <f>E$92-J90</f>
        <v>636904.7021123179</v>
      </c>
      <c r="P90" s="183">
        <f t="shared" ref="P90:R90" si="113">F$92-K90</f>
        <v>16248.688358027472</v>
      </c>
      <c r="Q90" s="184">
        <f t="shared" si="113"/>
        <v>1297.7188055440083</v>
      </c>
      <c r="R90" s="184">
        <f t="shared" si="113"/>
        <v>201.12486029534742</v>
      </c>
      <c r="S90" s="207"/>
      <c r="T90" s="195">
        <f t="shared" ref="T90" si="114">O90-T$73</f>
        <v>577808.7021123179</v>
      </c>
      <c r="U90" s="184">
        <f t="shared" ref="U90" si="115">P90-U$73</f>
        <v>6067.6883580274716</v>
      </c>
      <c r="V90" s="184">
        <f t="shared" ref="V90" si="116">Q90-V$73</f>
        <v>-7527.2811944559917</v>
      </c>
      <c r="W90" s="184">
        <f t="shared" ref="W90" si="117">R90-W$73</f>
        <v>-8546.8751397046526</v>
      </c>
      <c r="X90" s="207"/>
      <c r="Y90" s="195">
        <f t="shared" ref="Y90" si="118">O90-Y$73</f>
        <v>512464.7021123179</v>
      </c>
      <c r="Z90" s="184">
        <f t="shared" ref="Z90" si="119">P90-Z$73</f>
        <v>-588.31164197252838</v>
      </c>
      <c r="AA90" s="184">
        <f t="shared" ref="AA90" si="120">Q90-AA$73</f>
        <v>-12557.281194455991</v>
      </c>
      <c r="AB90" s="184">
        <f t="shared" ref="AB90" si="121">R90-AB$73</f>
        <v>-13483.875139704653</v>
      </c>
      <c r="AC90" s="207"/>
      <c r="AD90" s="184">
        <f t="shared" ref="AD90" si="122">O90-AD$73</f>
        <v>-3116507.3930026679</v>
      </c>
      <c r="AE90" s="184">
        <f t="shared" ref="AE90" si="123">P90-AE$73</f>
        <v>-1384920.3161368552</v>
      </c>
      <c r="AF90" s="184">
        <f t="shared" ref="AF90" si="124">Q90-AF$73</f>
        <v>-493509.80480100046</v>
      </c>
      <c r="AG90" s="184">
        <f t="shared" ref="AG90" si="125">R90-AG$73</f>
        <v>-246069.68897863055</v>
      </c>
      <c r="AI90" s="184">
        <f t="shared" si="37"/>
        <v>-1735856.953239935</v>
      </c>
      <c r="AJ90" s="184">
        <f t="shared" ref="AJ90:AJ97" si="126">P90-AJ$73</f>
        <v>-525848.93139559927</v>
      </c>
      <c r="AK90" s="184">
        <f t="shared" ref="AK90:AK97" si="127">Q90-AK$73</f>
        <v>-278741.95861568645</v>
      </c>
      <c r="AL90" s="184">
        <f t="shared" ref="AL90:AL97" si="128">R90-AL$73</f>
        <v>-215388.56809501429</v>
      </c>
    </row>
    <row r="91" spans="2:38" x14ac:dyDescent="0.3">
      <c r="B91" s="169" t="s">
        <v>919</v>
      </c>
      <c r="C91" s="180">
        <v>2.1999999999999999E-5</v>
      </c>
      <c r="D91" s="180">
        <v>5.2300000000000003E-4</v>
      </c>
      <c r="I91" s="168" t="s">
        <v>835</v>
      </c>
      <c r="J91" s="101">
        <f>J70*$D$91</f>
        <v>355484.91184695193</v>
      </c>
      <c r="K91" s="101">
        <f t="shared" ref="K91:M91" si="129">K70*$D$91</f>
        <v>11726.434627493851</v>
      </c>
      <c r="L91" s="101">
        <f t="shared" si="129"/>
        <v>1278.986648149337</v>
      </c>
      <c r="M91" s="101">
        <f t="shared" si="129"/>
        <v>208.24265601237201</v>
      </c>
      <c r="O91" s="195">
        <f>E$92-J91</f>
        <v>666829.11009836581</v>
      </c>
      <c r="P91" s="183">
        <f t="shared" ref="P91:R93" si="130">F$92-K91</f>
        <v>16699.931918146791</v>
      </c>
      <c r="Q91" s="184">
        <f t="shared" si="130"/>
        <v>1317.4568564808394</v>
      </c>
      <c r="R91" s="184">
        <f t="shared" si="130"/>
        <v>202.21908564010803</v>
      </c>
      <c r="T91" s="195">
        <f t="shared" si="40"/>
        <v>607733.11009836581</v>
      </c>
      <c r="U91" s="184">
        <f t="shared" si="41"/>
        <v>6518.9319181467908</v>
      </c>
      <c r="V91" s="184">
        <f t="shared" si="42"/>
        <v>-7507.5431435191604</v>
      </c>
      <c r="W91" s="184">
        <f t="shared" si="43"/>
        <v>-8545.7809143598915</v>
      </c>
      <c r="X91" s="212"/>
      <c r="Y91" s="195">
        <f t="shared" si="44"/>
        <v>542389.11009836581</v>
      </c>
      <c r="Z91" s="184">
        <f t="shared" si="45"/>
        <v>-137.06808185320915</v>
      </c>
      <c r="AA91" s="184">
        <f t="shared" si="46"/>
        <v>-12537.54314351916</v>
      </c>
      <c r="AB91" s="184">
        <f t="shared" si="47"/>
        <v>-13482.780914359892</v>
      </c>
      <c r="AC91" s="212"/>
      <c r="AD91" s="184">
        <f t="shared" si="48"/>
        <v>-3086582.9850166203</v>
      </c>
      <c r="AE91" s="184">
        <f t="shared" si="49"/>
        <v>-1384469.0725767359</v>
      </c>
      <c r="AF91" s="184">
        <f t="shared" si="50"/>
        <v>-493490.06675006362</v>
      </c>
      <c r="AG91" s="184">
        <f t="shared" si="51"/>
        <v>-246068.59475328581</v>
      </c>
      <c r="AI91" s="184">
        <f t="shared" si="37"/>
        <v>-1705932.5452538873</v>
      </c>
      <c r="AJ91" s="184">
        <f t="shared" si="126"/>
        <v>-525397.68783547997</v>
      </c>
      <c r="AK91" s="184">
        <f t="shared" si="127"/>
        <v>-278722.22056474962</v>
      </c>
      <c r="AL91" s="184">
        <f t="shared" si="128"/>
        <v>-215387.47386966954</v>
      </c>
    </row>
    <row r="92" spans="2:38" s="168" customFormat="1" x14ac:dyDescent="0.3">
      <c r="B92" s="169"/>
      <c r="C92" s="180"/>
      <c r="D92" s="179" t="s">
        <v>832</v>
      </c>
      <c r="E92" s="182">
        <f>E72*$D$91</f>
        <v>1022314.0219453177</v>
      </c>
      <c r="F92" s="183">
        <f t="shared" ref="F92:H92" si="131">F72*$D$91</f>
        <v>28426.366545640642</v>
      </c>
      <c r="G92" s="184">
        <f t="shared" si="131"/>
        <v>2596.4435046301764</v>
      </c>
      <c r="H92" s="184">
        <f t="shared" si="131"/>
        <v>410.46174165248004</v>
      </c>
      <c r="I92" s="168" t="s">
        <v>836</v>
      </c>
      <c r="J92" s="101">
        <f>J71*$D$91</f>
        <v>338082.71766429645</v>
      </c>
      <c r="K92" s="101">
        <f t="shared" ref="K92:M93" si="132">K71*$D$91</f>
        <v>11464.019141762923</v>
      </c>
      <c r="L92" s="101">
        <f t="shared" si="132"/>
        <v>1267.508212373765</v>
      </c>
      <c r="M92" s="101">
        <f t="shared" si="132"/>
        <v>207.60632188880354</v>
      </c>
      <c r="O92" s="195">
        <f t="shared" ref="O92:O93" si="133">E$92-J92</f>
        <v>684231.30428102124</v>
      </c>
      <c r="P92" s="183">
        <f t="shared" si="130"/>
        <v>16962.34740387772</v>
      </c>
      <c r="Q92" s="184">
        <f t="shared" si="130"/>
        <v>1328.9352922564115</v>
      </c>
      <c r="R92" s="184">
        <f t="shared" si="130"/>
        <v>202.85541976367651</v>
      </c>
      <c r="T92" s="195">
        <f t="shared" si="40"/>
        <v>625135.30428102124</v>
      </c>
      <c r="U92" s="184">
        <f t="shared" si="41"/>
        <v>6781.3474038777204</v>
      </c>
      <c r="V92" s="184">
        <f t="shared" si="42"/>
        <v>-7496.0647077435888</v>
      </c>
      <c r="W92" s="184">
        <f t="shared" si="43"/>
        <v>-8545.1445802363232</v>
      </c>
      <c r="X92" s="212"/>
      <c r="Y92" s="195">
        <f t="shared" si="44"/>
        <v>559791.30428102124</v>
      </c>
      <c r="Z92" s="184">
        <f t="shared" si="45"/>
        <v>125.34740387772035</v>
      </c>
      <c r="AA92" s="184">
        <f t="shared" si="46"/>
        <v>-12526.064707743588</v>
      </c>
      <c r="AB92" s="184">
        <f t="shared" si="47"/>
        <v>-13482.144580236323</v>
      </c>
      <c r="AC92" s="212"/>
      <c r="AD92" s="184">
        <f t="shared" si="48"/>
        <v>-3069180.7908339649</v>
      </c>
      <c r="AE92" s="184">
        <f t="shared" si="49"/>
        <v>-1384206.657091005</v>
      </c>
      <c r="AF92" s="184">
        <f t="shared" si="50"/>
        <v>-493478.58831428806</v>
      </c>
      <c r="AG92" s="184">
        <f t="shared" si="51"/>
        <v>-246067.95841916223</v>
      </c>
      <c r="AI92" s="184">
        <f t="shared" si="37"/>
        <v>-1688530.3510712318</v>
      </c>
      <c r="AJ92" s="184">
        <f t="shared" si="126"/>
        <v>-525135.27234974899</v>
      </c>
      <c r="AK92" s="184">
        <f t="shared" si="127"/>
        <v>-278710.74212897406</v>
      </c>
      <c r="AL92" s="184">
        <f t="shared" si="128"/>
        <v>-215386.83753554596</v>
      </c>
    </row>
    <row r="93" spans="2:38" s="168" customFormat="1" x14ac:dyDescent="0.3">
      <c r="B93" s="169"/>
      <c r="C93" s="180"/>
      <c r="D93" s="179" t="s">
        <v>833</v>
      </c>
      <c r="E93" s="183">
        <f>E72*$C$91</f>
        <v>43003.649106686404</v>
      </c>
      <c r="F93" s="184">
        <f t="shared" ref="F93:H93" si="134">F72*$C$91</f>
        <v>1195.7553805049599</v>
      </c>
      <c r="G93" s="184">
        <f t="shared" si="134"/>
        <v>109.219420844864</v>
      </c>
      <c r="H93" s="184">
        <f t="shared" si="134"/>
        <v>17.266077086719999</v>
      </c>
      <c r="I93" s="8" t="s">
        <v>837</v>
      </c>
      <c r="J93" s="170">
        <f>J72*$D$91</f>
        <v>332412.73291420162</v>
      </c>
      <c r="K93" s="170">
        <f t="shared" si="132"/>
        <v>11378.518900433237</v>
      </c>
      <c r="L93" s="170">
        <f t="shared" si="132"/>
        <v>1263.7683072147188</v>
      </c>
      <c r="M93" s="170">
        <f t="shared" si="132"/>
        <v>207.39899143732555</v>
      </c>
      <c r="N93" s="8"/>
      <c r="O93" s="196">
        <f t="shared" si="133"/>
        <v>689901.28903111606</v>
      </c>
      <c r="P93" s="193">
        <f t="shared" si="130"/>
        <v>17047.847645207403</v>
      </c>
      <c r="Q93" s="197">
        <f t="shared" si="130"/>
        <v>1332.6751974154577</v>
      </c>
      <c r="R93" s="197">
        <f t="shared" si="130"/>
        <v>203.06275021515449</v>
      </c>
      <c r="S93" s="8"/>
      <c r="T93" s="196">
        <f t="shared" si="40"/>
        <v>630805.28903111606</v>
      </c>
      <c r="U93" s="197">
        <f t="shared" si="41"/>
        <v>6866.8476452074028</v>
      </c>
      <c r="V93" s="197">
        <f t="shared" si="42"/>
        <v>-7492.3248025845423</v>
      </c>
      <c r="W93" s="197">
        <f t="shared" si="43"/>
        <v>-8544.9372497848453</v>
      </c>
      <c r="X93" s="8"/>
      <c r="Y93" s="196">
        <f t="shared" si="44"/>
        <v>565461.28903111606</v>
      </c>
      <c r="Z93" s="197">
        <f t="shared" si="45"/>
        <v>210.84764520740282</v>
      </c>
      <c r="AA93" s="197">
        <f t="shared" si="46"/>
        <v>-12522.324802584542</v>
      </c>
      <c r="AB93" s="197">
        <f t="shared" si="47"/>
        <v>-13481.937249784845</v>
      </c>
      <c r="AC93" s="8"/>
      <c r="AD93" s="197">
        <f t="shared" si="48"/>
        <v>-3063510.8060838701</v>
      </c>
      <c r="AE93" s="197">
        <f t="shared" si="49"/>
        <v>-1384121.1568496753</v>
      </c>
      <c r="AF93" s="197">
        <f t="shared" si="50"/>
        <v>-493474.84840912902</v>
      </c>
      <c r="AG93" s="197">
        <f t="shared" si="51"/>
        <v>-246067.75108871076</v>
      </c>
      <c r="AI93" s="197">
        <f t="shared" si="37"/>
        <v>-1682860.3663211369</v>
      </c>
      <c r="AJ93" s="197">
        <f t="shared" si="126"/>
        <v>-525049.77210841933</v>
      </c>
      <c r="AK93" s="197">
        <f t="shared" si="127"/>
        <v>-278707.00222381501</v>
      </c>
      <c r="AL93" s="197">
        <f t="shared" si="128"/>
        <v>-215386.63020509449</v>
      </c>
    </row>
    <row r="94" spans="2:38" s="217" customFormat="1" x14ac:dyDescent="0.3">
      <c r="B94" s="218"/>
      <c r="C94" s="180"/>
      <c r="D94" s="179"/>
      <c r="E94" s="183"/>
      <c r="F94" s="184"/>
      <c r="G94" s="184"/>
      <c r="H94" s="184"/>
      <c r="I94" s="145" t="s">
        <v>1004</v>
      </c>
      <c r="J94" s="208">
        <f>J69*$D$95</f>
        <v>2210.7609168240906</v>
      </c>
      <c r="K94" s="208">
        <f t="shared" ref="K94:M94" si="135">K69*$D$95</f>
        <v>69.852838552274406</v>
      </c>
      <c r="L94" s="208">
        <f t="shared" si="135"/>
        <v>7.4496636658862414</v>
      </c>
      <c r="M94" s="208">
        <f t="shared" si="135"/>
        <v>1.2007851703086001</v>
      </c>
      <c r="N94" s="207"/>
      <c r="O94" s="184">
        <f>E$96-J94</f>
        <v>3653.3730522695105</v>
      </c>
      <c r="P94" s="184">
        <f t="shared" ref="P94:R94" si="136">F$96-K94</f>
        <v>93.2047133347656</v>
      </c>
      <c r="Q94" s="184">
        <f t="shared" si="136"/>
        <v>7.4438937220497596</v>
      </c>
      <c r="R94" s="184">
        <f t="shared" si="136"/>
        <v>1.1536798869714</v>
      </c>
      <c r="S94" s="207"/>
      <c r="T94" s="184">
        <f t="shared" ref="T94" si="137">O94-T$73</f>
        <v>-55442.626947730489</v>
      </c>
      <c r="U94" s="184">
        <f t="shared" ref="U94" si="138">P94-U$73</f>
        <v>-10087.795286665234</v>
      </c>
      <c r="V94" s="184">
        <f t="shared" ref="V94" si="139">Q94-V$73</f>
        <v>-8817.5561062779507</v>
      </c>
      <c r="W94" s="184">
        <f t="shared" ref="W94" si="140">R94-W$73</f>
        <v>-8746.8463201130289</v>
      </c>
      <c r="X94" s="207"/>
      <c r="Y94" s="184">
        <f t="shared" ref="Y94" si="141">O94-Y$73</f>
        <v>-120786.62694773049</v>
      </c>
      <c r="Z94" s="184">
        <f t="shared" ref="Z94" si="142">P94-Z$73</f>
        <v>-16743.795286665234</v>
      </c>
      <c r="AA94" s="184">
        <f t="shared" ref="AA94" si="143">Q94-AA$73</f>
        <v>-13847.556106277951</v>
      </c>
      <c r="AB94" s="184">
        <f t="shared" ref="AB94" si="144">R94-AB$73</f>
        <v>-13683.846320113029</v>
      </c>
      <c r="AC94" s="207"/>
      <c r="AD94" s="184">
        <f t="shared" ref="AD94" si="145">O94-AD$73</f>
        <v>-3749758.7220627163</v>
      </c>
      <c r="AE94" s="184">
        <f t="shared" ref="AE94" si="146">P94-AE$73</f>
        <v>-1401075.7997815479</v>
      </c>
      <c r="AF94" s="184">
        <f t="shared" ref="AF94" si="147">Q94-AF$73</f>
        <v>-494800.07971282245</v>
      </c>
      <c r="AG94" s="184">
        <f t="shared" ref="AG94" si="148">R94-AG$73</f>
        <v>-246269.66015903893</v>
      </c>
      <c r="AI94" s="184">
        <f t="shared" si="37"/>
        <v>-2369108.2822999833</v>
      </c>
      <c r="AJ94" s="184">
        <f t="shared" si="126"/>
        <v>-542004.41504029196</v>
      </c>
      <c r="AK94" s="184">
        <f t="shared" si="127"/>
        <v>-280032.23352750845</v>
      </c>
      <c r="AL94" s="184">
        <f t="shared" si="128"/>
        <v>-215588.53927542266</v>
      </c>
    </row>
    <row r="95" spans="2:38" x14ac:dyDescent="0.3">
      <c r="B95" s="169" t="s">
        <v>827</v>
      </c>
      <c r="C95" s="180">
        <v>3.0000000000000001E-6</v>
      </c>
      <c r="D95" s="180">
        <v>3.0000000000000001E-6</v>
      </c>
      <c r="I95" s="168" t="s">
        <v>835</v>
      </c>
      <c r="J95" s="101">
        <f>J70*$D$95</f>
        <v>2039.1103930035481</v>
      </c>
      <c r="K95" s="101">
        <f t="shared" ref="K95:M95" si="149">K70*$D$95</f>
        <v>67.264443369945596</v>
      </c>
      <c r="L95" s="101">
        <f t="shared" si="149"/>
        <v>7.3364434884283201</v>
      </c>
      <c r="M95" s="101">
        <f t="shared" si="149"/>
        <v>1.1945085430919999</v>
      </c>
      <c r="O95" s="184">
        <f>E$96-J95</f>
        <v>3825.0235760900532</v>
      </c>
      <c r="P95" s="184">
        <f t="shared" ref="P95:R97" si="150">F$96-K95</f>
        <v>95.79310851709441</v>
      </c>
      <c r="Q95" s="184">
        <f t="shared" si="150"/>
        <v>7.557113899507681</v>
      </c>
      <c r="R95" s="184">
        <f t="shared" si="150"/>
        <v>1.1599565141880002</v>
      </c>
      <c r="T95" s="184">
        <f t="shared" si="40"/>
        <v>-55270.976423909946</v>
      </c>
      <c r="U95" s="184">
        <f t="shared" si="41"/>
        <v>-10085.206891482905</v>
      </c>
      <c r="V95" s="184">
        <f t="shared" si="42"/>
        <v>-8817.4428861004926</v>
      </c>
      <c r="W95" s="184">
        <f t="shared" si="43"/>
        <v>-8746.8400434858122</v>
      </c>
      <c r="X95" s="212"/>
      <c r="Y95" s="184">
        <f t="shared" si="44"/>
        <v>-120614.97642390995</v>
      </c>
      <c r="Z95" s="184">
        <f t="shared" si="45"/>
        <v>-16741.206891482907</v>
      </c>
      <c r="AA95" s="184">
        <f t="shared" si="46"/>
        <v>-13847.442886100493</v>
      </c>
      <c r="AB95" s="184">
        <f t="shared" si="47"/>
        <v>-13683.840043485812</v>
      </c>
      <c r="AC95" s="212"/>
      <c r="AD95" s="184">
        <f t="shared" si="48"/>
        <v>-3749587.0715388958</v>
      </c>
      <c r="AE95" s="184">
        <f t="shared" si="49"/>
        <v>-1401073.2113863656</v>
      </c>
      <c r="AF95" s="184">
        <f t="shared" si="50"/>
        <v>-494799.96649264498</v>
      </c>
      <c r="AG95" s="184">
        <f t="shared" si="51"/>
        <v>-246269.65388241172</v>
      </c>
      <c r="AI95" s="184">
        <f t="shared" si="37"/>
        <v>-2368936.6317761629</v>
      </c>
      <c r="AJ95" s="184">
        <f t="shared" si="126"/>
        <v>-542001.82664510969</v>
      </c>
      <c r="AK95" s="184">
        <f t="shared" si="127"/>
        <v>-280032.12030733097</v>
      </c>
      <c r="AL95" s="184">
        <f t="shared" si="128"/>
        <v>-215588.53299879545</v>
      </c>
    </row>
    <row r="96" spans="2:38" x14ac:dyDescent="0.3">
      <c r="D96" s="179" t="s">
        <v>832</v>
      </c>
      <c r="E96" s="184">
        <f>E72*$D$95</f>
        <v>5864.1339690936011</v>
      </c>
      <c r="F96" s="184">
        <f t="shared" ref="F96:H96" si="151">F72*$D$95</f>
        <v>163.05755188704001</v>
      </c>
      <c r="G96" s="184">
        <f t="shared" si="151"/>
        <v>14.893557387936001</v>
      </c>
      <c r="H96" s="184">
        <f t="shared" si="151"/>
        <v>2.3544650572800001</v>
      </c>
      <c r="I96" s="168" t="s">
        <v>836</v>
      </c>
      <c r="J96" s="101">
        <f>J71*$D$95</f>
        <v>1939.2890114586794</v>
      </c>
      <c r="K96" s="101">
        <f t="shared" ref="K96:M97" si="152">K71*$D$95</f>
        <v>65.759192017760554</v>
      </c>
      <c r="L96" s="101">
        <f t="shared" si="152"/>
        <v>7.2706016006143308</v>
      </c>
      <c r="M96" s="101">
        <f t="shared" si="152"/>
        <v>1.1908584429568079</v>
      </c>
      <c r="O96" s="184">
        <f t="shared" ref="O96:O97" si="153">E$96-J96</f>
        <v>3924.8449576349217</v>
      </c>
      <c r="P96" s="184">
        <f t="shared" si="150"/>
        <v>97.298359869279452</v>
      </c>
      <c r="Q96" s="184">
        <f t="shared" si="150"/>
        <v>7.6229557873216702</v>
      </c>
      <c r="R96" s="184">
        <f t="shared" si="150"/>
        <v>1.1636066143231922</v>
      </c>
      <c r="T96" s="184">
        <f t="shared" si="40"/>
        <v>-55171.155042365077</v>
      </c>
      <c r="U96" s="184">
        <f t="shared" si="41"/>
        <v>-10083.701640130721</v>
      </c>
      <c r="V96" s="184">
        <f t="shared" si="42"/>
        <v>-8817.3770442126788</v>
      </c>
      <c r="W96" s="184">
        <f t="shared" si="43"/>
        <v>-8746.8363933856763</v>
      </c>
      <c r="X96" s="212"/>
      <c r="Y96" s="184">
        <f t="shared" si="44"/>
        <v>-120515.15504236508</v>
      </c>
      <c r="Z96" s="184">
        <f t="shared" si="45"/>
        <v>-16739.701640130719</v>
      </c>
      <c r="AA96" s="184">
        <f t="shared" si="46"/>
        <v>-13847.377044212679</v>
      </c>
      <c r="AB96" s="184">
        <f t="shared" si="47"/>
        <v>-13683.836393385676</v>
      </c>
      <c r="AC96" s="212"/>
      <c r="AD96" s="184">
        <f t="shared" si="48"/>
        <v>-3749487.2501573511</v>
      </c>
      <c r="AE96" s="184">
        <f t="shared" si="49"/>
        <v>-1401071.7061350134</v>
      </c>
      <c r="AF96" s="184">
        <f t="shared" si="50"/>
        <v>-494799.90065075713</v>
      </c>
      <c r="AG96" s="184">
        <f t="shared" si="51"/>
        <v>-246269.6502323116</v>
      </c>
      <c r="AI96" s="184">
        <f t="shared" si="37"/>
        <v>-2368836.8103946182</v>
      </c>
      <c r="AJ96" s="184">
        <f t="shared" si="126"/>
        <v>-542000.32139375748</v>
      </c>
      <c r="AK96" s="184">
        <f t="shared" si="127"/>
        <v>-280032.05446544313</v>
      </c>
      <c r="AL96" s="184">
        <f t="shared" si="128"/>
        <v>-215588.52934869533</v>
      </c>
    </row>
    <row r="97" spans="4:38" x14ac:dyDescent="0.3">
      <c r="D97" s="179" t="s">
        <v>833</v>
      </c>
      <c r="E97" s="184">
        <f>E72*$C$95</f>
        <v>5864.1339690936011</v>
      </c>
      <c r="F97" s="184">
        <f t="shared" ref="F97:H97" si="154">F72*$C$95</f>
        <v>163.05755188704001</v>
      </c>
      <c r="G97" s="184">
        <f t="shared" si="154"/>
        <v>14.893557387936001</v>
      </c>
      <c r="H97" s="184">
        <f t="shared" si="154"/>
        <v>2.3544650572800001</v>
      </c>
      <c r="I97" s="8" t="s">
        <v>837</v>
      </c>
      <c r="J97" s="170">
        <f>J72*$D$95</f>
        <v>1906.7651983606211</v>
      </c>
      <c r="K97" s="170">
        <f t="shared" si="152"/>
        <v>65.268750862905762</v>
      </c>
      <c r="L97" s="170">
        <f t="shared" si="152"/>
        <v>7.249148989759381</v>
      </c>
      <c r="M97" s="170">
        <f t="shared" si="152"/>
        <v>1.1896691669445059</v>
      </c>
      <c r="N97" s="8"/>
      <c r="O97" s="197">
        <f t="shared" si="153"/>
        <v>3957.36877073298</v>
      </c>
      <c r="P97" s="197">
        <f t="shared" si="150"/>
        <v>97.788801024134244</v>
      </c>
      <c r="Q97" s="197">
        <f t="shared" si="150"/>
        <v>7.64440839817662</v>
      </c>
      <c r="R97" s="197">
        <f t="shared" si="150"/>
        <v>1.1647958903354942</v>
      </c>
      <c r="S97" s="8"/>
      <c r="T97" s="197">
        <f t="shared" si="40"/>
        <v>-55138.631229267019</v>
      </c>
      <c r="U97" s="197">
        <f t="shared" si="41"/>
        <v>-10083.211198975865</v>
      </c>
      <c r="V97" s="197">
        <f t="shared" si="42"/>
        <v>-8817.3555916018231</v>
      </c>
      <c r="W97" s="197">
        <f t="shared" si="43"/>
        <v>-8746.8352041096641</v>
      </c>
      <c r="X97" s="8"/>
      <c r="Y97" s="197">
        <f t="shared" si="44"/>
        <v>-120482.63122926702</v>
      </c>
      <c r="Z97" s="197">
        <f t="shared" si="45"/>
        <v>-16739.211198975867</v>
      </c>
      <c r="AA97" s="197">
        <f t="shared" si="46"/>
        <v>-13847.355591601823</v>
      </c>
      <c r="AB97" s="197">
        <f t="shared" si="47"/>
        <v>-13683.835204109664</v>
      </c>
      <c r="AC97" s="8"/>
      <c r="AD97" s="197">
        <f t="shared" si="48"/>
        <v>-3749454.7263442529</v>
      </c>
      <c r="AE97" s="197">
        <f t="shared" si="49"/>
        <v>-1401071.2156938585</v>
      </c>
      <c r="AF97" s="197">
        <f t="shared" si="50"/>
        <v>-494799.87919814629</v>
      </c>
      <c r="AG97" s="197">
        <f t="shared" si="51"/>
        <v>-246269.64904303558</v>
      </c>
      <c r="AI97" s="197">
        <f t="shared" si="37"/>
        <v>-2368804.28658152</v>
      </c>
      <c r="AJ97" s="197">
        <f t="shared" si="126"/>
        <v>-541999.83095260267</v>
      </c>
      <c r="AK97" s="197">
        <f t="shared" si="127"/>
        <v>-280032.03301283228</v>
      </c>
      <c r="AL97" s="197">
        <f t="shared" si="128"/>
        <v>-215588.52815941931</v>
      </c>
    </row>
    <row r="99" spans="4:38" x14ac:dyDescent="0.3">
      <c r="O99" t="s">
        <v>840</v>
      </c>
    </row>
    <row r="100" spans="4:38" x14ac:dyDescent="0.3">
      <c r="O100" t="s">
        <v>841</v>
      </c>
    </row>
    <row r="101" spans="4:38" x14ac:dyDescent="0.3">
      <c r="J101" s="86" t="s">
        <v>842</v>
      </c>
    </row>
    <row r="102" spans="4:38" x14ac:dyDescent="0.3">
      <c r="I102" s="217" t="s">
        <v>1013</v>
      </c>
      <c r="J102" s="86" t="s">
        <v>1014</v>
      </c>
      <c r="K102" s="168"/>
      <c r="L102" s="168"/>
      <c r="M102" s="168"/>
    </row>
    <row r="103" spans="4:38" x14ac:dyDescent="0.3">
      <c r="I103" s="186" t="s">
        <v>1012</v>
      </c>
      <c r="J103" s="175">
        <v>736920305.6080302</v>
      </c>
      <c r="K103" s="175">
        <v>23284279.5174248</v>
      </c>
      <c r="L103" s="175">
        <v>2483221.2219620803</v>
      </c>
      <c r="M103" s="175">
        <v>400261.7234362</v>
      </c>
    </row>
    <row r="104" spans="4:38" x14ac:dyDescent="0.3">
      <c r="I104" s="186" t="s">
        <v>835</v>
      </c>
      <c r="J104" s="175">
        <v>679703464.33451605</v>
      </c>
      <c r="K104" s="175">
        <v>22421481.1233152</v>
      </c>
      <c r="L104" s="175">
        <v>2445481.1628094399</v>
      </c>
      <c r="M104" s="175">
        <v>398169.514364</v>
      </c>
    </row>
    <row r="105" spans="4:38" x14ac:dyDescent="0.3">
      <c r="I105" s="186" t="s">
        <v>836</v>
      </c>
      <c r="J105" s="175">
        <v>646429670.48622644</v>
      </c>
      <c r="K105" s="175">
        <v>21919730.672586851</v>
      </c>
      <c r="L105" s="175">
        <v>2423533.8668714436</v>
      </c>
      <c r="M105" s="175">
        <v>396952.81431893597</v>
      </c>
      <c r="O105" s="86" t="s">
        <v>842</v>
      </c>
      <c r="P105" s="168"/>
      <c r="Q105" s="168"/>
      <c r="R105" s="168"/>
      <c r="T105" s="86" t="s">
        <v>937</v>
      </c>
      <c r="AD105" s="240" t="s">
        <v>1033</v>
      </c>
      <c r="AE105" s="240"/>
      <c r="AF105" s="240"/>
      <c r="AG105" s="240"/>
      <c r="AH105" s="240"/>
      <c r="AI105" s="240" t="s">
        <v>1034</v>
      </c>
      <c r="AJ105" s="217"/>
      <c r="AK105" s="217"/>
      <c r="AL105" s="217"/>
    </row>
    <row r="106" spans="4:38" x14ac:dyDescent="0.3">
      <c r="I106" s="186" t="s">
        <v>837</v>
      </c>
      <c r="J106" s="175">
        <v>635588399.45354033</v>
      </c>
      <c r="K106" s="175">
        <v>21756250.287635252</v>
      </c>
      <c r="L106" s="175">
        <v>2416382.9965864602</v>
      </c>
      <c r="M106" s="175">
        <v>396556.38898150198</v>
      </c>
      <c r="O106" s="244" t="s">
        <v>1017</v>
      </c>
      <c r="P106" s="244"/>
      <c r="Q106" s="244"/>
      <c r="R106" s="244"/>
      <c r="T106" s="214" t="s">
        <v>969</v>
      </c>
      <c r="U106" s="214"/>
      <c r="V106" s="214"/>
      <c r="W106" s="214"/>
      <c r="X106" s="214"/>
      <c r="Y106" s="214" t="s">
        <v>968</v>
      </c>
      <c r="Z106" s="212"/>
      <c r="AA106" s="212"/>
      <c r="AB106" s="212"/>
      <c r="AC106" s="212"/>
      <c r="AD106" s="214" t="s">
        <v>972</v>
      </c>
      <c r="AE106" s="212"/>
      <c r="AF106" s="212"/>
      <c r="AG106" s="212"/>
      <c r="AI106" s="217" t="s">
        <v>972</v>
      </c>
      <c r="AJ106" s="217"/>
      <c r="AK106" s="217"/>
      <c r="AL106" s="217"/>
    </row>
    <row r="107" spans="4:38" x14ac:dyDescent="0.3">
      <c r="H107" s="176" t="s">
        <v>823</v>
      </c>
      <c r="I107" s="238" t="s">
        <v>839</v>
      </c>
      <c r="J107" s="188" t="s">
        <v>828</v>
      </c>
      <c r="K107" s="188" t="s">
        <v>829</v>
      </c>
      <c r="L107" s="188" t="s">
        <v>830</v>
      </c>
      <c r="M107" s="188" t="s">
        <v>831</v>
      </c>
      <c r="N107" s="8"/>
      <c r="O107" s="188" t="s">
        <v>828</v>
      </c>
      <c r="P107" s="188" t="s">
        <v>829</v>
      </c>
      <c r="Q107" s="188" t="s">
        <v>830</v>
      </c>
      <c r="R107" s="188" t="s">
        <v>831</v>
      </c>
      <c r="S107" s="8"/>
      <c r="T107" s="170">
        <f>54463+4633</f>
        <v>59096</v>
      </c>
      <c r="U107" s="170">
        <f>5548+4633</f>
        <v>10181</v>
      </c>
      <c r="V107" s="170">
        <f>4192+4633</f>
        <v>8825</v>
      </c>
      <c r="W107" s="170">
        <f>4115+4633</f>
        <v>8748</v>
      </c>
      <c r="X107" s="8"/>
      <c r="Y107" s="170">
        <f>119807+4633</f>
        <v>124440</v>
      </c>
      <c r="Z107" s="170">
        <f>12204+4633</f>
        <v>16837</v>
      </c>
      <c r="AA107" s="170">
        <f>9222+4633</f>
        <v>13855</v>
      </c>
      <c r="AB107" s="170">
        <f>9052+4633</f>
        <v>13685</v>
      </c>
      <c r="AC107" s="8"/>
      <c r="AD107" s="170">
        <v>3753412.0951149859</v>
      </c>
      <c r="AE107" s="170">
        <v>1401169.0044948827</v>
      </c>
      <c r="AF107" s="170">
        <v>494807.52360654448</v>
      </c>
      <c r="AG107" s="170">
        <v>246270.81383892591</v>
      </c>
      <c r="AI107" s="170">
        <v>2372761.655352253</v>
      </c>
      <c r="AJ107" s="170">
        <v>542097.61975362676</v>
      </c>
      <c r="AK107" s="170">
        <v>280039.67742123047</v>
      </c>
      <c r="AL107" s="170">
        <v>215589.69295530964</v>
      </c>
    </row>
    <row r="108" spans="4:38" s="217" customFormat="1" x14ac:dyDescent="0.3">
      <c r="H108" s="225"/>
      <c r="I108" s="145" t="s">
        <v>1012</v>
      </c>
      <c r="J108" s="101">
        <f>$C$75*J103</f>
        <v>736920305.6080302</v>
      </c>
      <c r="K108" s="101">
        <f t="shared" ref="K108:M108" si="155">$C$75*K103</f>
        <v>23284279.5174248</v>
      </c>
      <c r="L108" s="101">
        <f t="shared" si="155"/>
        <v>2483221.2219620803</v>
      </c>
      <c r="M108" s="101">
        <f t="shared" si="155"/>
        <v>400261.7234362</v>
      </c>
      <c r="N108" s="207"/>
      <c r="O108" s="182">
        <f>E$77-J108</f>
        <v>1217791017.4231701</v>
      </c>
      <c r="P108" s="182">
        <f t="shared" ref="P108" si="156">F$77-K108</f>
        <v>31068237.778255202</v>
      </c>
      <c r="Q108" s="182">
        <f t="shared" ref="Q108" si="157">G$77-L108</f>
        <v>2481297.9073499199</v>
      </c>
      <c r="R108" s="195">
        <f t="shared" ref="R108" si="158">H$77-M108</f>
        <v>384559.96232380002</v>
      </c>
      <c r="S108" s="207"/>
      <c r="T108" s="182">
        <f>O108-T$107</f>
        <v>1217731921.4231701</v>
      </c>
      <c r="U108" s="182">
        <f t="shared" ref="U108" si="159">P108-U$107</f>
        <v>31058056.778255202</v>
      </c>
      <c r="V108" s="182">
        <f t="shared" ref="V108" si="160">Q108-V$107</f>
        <v>2472472.9073499199</v>
      </c>
      <c r="W108" s="195">
        <f t="shared" ref="W108" si="161">R108-W$107</f>
        <v>375811.96232380002</v>
      </c>
      <c r="X108" s="207"/>
      <c r="Y108" s="182">
        <f>O108-Y$107</f>
        <v>1217666577.4231701</v>
      </c>
      <c r="Z108" s="182">
        <f t="shared" ref="Z108" si="162">P108-Z$107</f>
        <v>31051400.778255202</v>
      </c>
      <c r="AA108" s="182">
        <f t="shared" ref="AA108" si="163">Q108-AA$107</f>
        <v>2467442.9073499199</v>
      </c>
      <c r="AB108" s="195">
        <f t="shared" ref="AB108" si="164">R108-AB$107</f>
        <v>370874.96232380002</v>
      </c>
      <c r="AC108" s="207"/>
      <c r="AD108" s="182">
        <f>O108-AD$107</f>
        <v>1214037605.3280551</v>
      </c>
      <c r="AE108" s="182">
        <f t="shared" ref="AE108" si="165">P108-AE$107</f>
        <v>29667068.773760319</v>
      </c>
      <c r="AF108" s="182">
        <f t="shared" ref="AF108" si="166">Q108-AF$107</f>
        <v>1986490.3837433755</v>
      </c>
      <c r="AG108" s="195">
        <f t="shared" ref="AG108" si="167">R108-AG$107</f>
        <v>138289.14848487411</v>
      </c>
      <c r="AI108" s="182">
        <f>O108-AI$73</f>
        <v>1215418255.7678177</v>
      </c>
      <c r="AJ108" s="182">
        <f t="shared" ref="AJ108:AJ131" si="168">P108-AJ$73</f>
        <v>30526140.158501577</v>
      </c>
      <c r="AK108" s="182">
        <f t="shared" ref="AK108:AK131" si="169">Q108-AK$73</f>
        <v>2201258.2299286895</v>
      </c>
      <c r="AL108" s="195">
        <f t="shared" ref="AL108:AL131" si="170">R108-AL$73</f>
        <v>168970.26936849038</v>
      </c>
    </row>
    <row r="109" spans="4:38" x14ac:dyDescent="0.3">
      <c r="H109" s="169" t="s">
        <v>826</v>
      </c>
      <c r="I109" s="168" t="s">
        <v>835</v>
      </c>
      <c r="J109" s="101">
        <f>$C$75*J70</f>
        <v>679703464.33451605</v>
      </c>
      <c r="K109" s="101">
        <f t="shared" ref="K109:M109" si="171">$C$75*K70</f>
        <v>22421481.1233152</v>
      </c>
      <c r="L109" s="101">
        <f t="shared" si="171"/>
        <v>2445481.1628094399</v>
      </c>
      <c r="M109" s="101">
        <f t="shared" si="171"/>
        <v>398169.514364</v>
      </c>
      <c r="O109" s="182">
        <f>E$77-J109</f>
        <v>1275007858.6966841</v>
      </c>
      <c r="P109" s="182">
        <f t="shared" ref="P109:R111" si="172">F$77-K109</f>
        <v>31931036.172364801</v>
      </c>
      <c r="Q109" s="182">
        <f t="shared" si="172"/>
        <v>2519037.9665025603</v>
      </c>
      <c r="R109" s="195">
        <f t="shared" si="172"/>
        <v>386652.17139600002</v>
      </c>
      <c r="T109" s="182">
        <f>O109-T$107</f>
        <v>1274948762.6966841</v>
      </c>
      <c r="U109" s="182">
        <f t="shared" ref="U109:W109" si="173">P109-U$107</f>
        <v>31920855.172364801</v>
      </c>
      <c r="V109" s="182">
        <f t="shared" si="173"/>
        <v>2510212.9665025603</v>
      </c>
      <c r="W109" s="195">
        <f t="shared" si="173"/>
        <v>377904.17139600002</v>
      </c>
      <c r="Y109" s="182">
        <f>O109-Y$107</f>
        <v>1274883418.6966841</v>
      </c>
      <c r="Z109" s="182">
        <f t="shared" ref="Z109:AB109" si="174">P109-Z$107</f>
        <v>31914199.172364801</v>
      </c>
      <c r="AA109" s="182">
        <f t="shared" si="174"/>
        <v>2505182.9665025603</v>
      </c>
      <c r="AB109" s="195">
        <f t="shared" si="174"/>
        <v>372967.17139600002</v>
      </c>
      <c r="AD109" s="182">
        <f>O109-AD$107</f>
        <v>1271254446.6015692</v>
      </c>
      <c r="AE109" s="182">
        <f t="shared" ref="AE109:AG109" si="175">P109-AE$107</f>
        <v>30529867.167869918</v>
      </c>
      <c r="AF109" s="182">
        <f t="shared" si="175"/>
        <v>2024230.4428960159</v>
      </c>
      <c r="AG109" s="195">
        <f t="shared" si="175"/>
        <v>140381.35755707411</v>
      </c>
      <c r="AI109" s="182">
        <f t="shared" ref="AI109:AI131" si="176">O109-AI$73</f>
        <v>1272635097.0413318</v>
      </c>
      <c r="AJ109" s="182">
        <f t="shared" si="168"/>
        <v>31388938.552611176</v>
      </c>
      <c r="AK109" s="182">
        <f t="shared" si="169"/>
        <v>2238998.2890813299</v>
      </c>
      <c r="AL109" s="195">
        <f t="shared" si="170"/>
        <v>171062.47844069038</v>
      </c>
    </row>
    <row r="110" spans="4:38" x14ac:dyDescent="0.3">
      <c r="H110" s="169" t="s">
        <v>924</v>
      </c>
      <c r="I110" s="168" t="s">
        <v>836</v>
      </c>
      <c r="J110" s="101">
        <f>$C$75*J71</f>
        <v>646429670.48622644</v>
      </c>
      <c r="K110" s="101">
        <f t="shared" ref="K110:M110" si="177">$C$75*K71</f>
        <v>21919730.672586851</v>
      </c>
      <c r="L110" s="101">
        <f t="shared" si="177"/>
        <v>2423533.8668714436</v>
      </c>
      <c r="M110" s="101">
        <f t="shared" si="177"/>
        <v>396952.81431893597</v>
      </c>
      <c r="O110" s="182">
        <f t="shared" ref="O110:O111" si="178">E$77-J110</f>
        <v>1308281652.5449739</v>
      </c>
      <c r="P110" s="182">
        <f t="shared" si="172"/>
        <v>32432786.623093151</v>
      </c>
      <c r="Q110" s="182">
        <f t="shared" si="172"/>
        <v>2540985.2624405567</v>
      </c>
      <c r="R110" s="195">
        <f t="shared" si="172"/>
        <v>387868.87144106405</v>
      </c>
      <c r="T110" s="182">
        <f t="shared" ref="T110:T131" si="179">O110-T$107</f>
        <v>1308222556.5449739</v>
      </c>
      <c r="U110" s="182">
        <f t="shared" ref="U110:U131" si="180">P110-U$107</f>
        <v>32422605.623093151</v>
      </c>
      <c r="V110" s="182">
        <f t="shared" ref="V110:V131" si="181">Q110-V$107</f>
        <v>2532160.2624405567</v>
      </c>
      <c r="W110" s="195">
        <f t="shared" ref="W110:W131" si="182">R110-W$107</f>
        <v>379120.87144106405</v>
      </c>
      <c r="X110" s="212"/>
      <c r="Y110" s="182">
        <f t="shared" ref="Y110:Y131" si="183">O110-Y$107</f>
        <v>1308157212.5449739</v>
      </c>
      <c r="Z110" s="182">
        <f t="shared" ref="Z110:Z131" si="184">P110-Z$107</f>
        <v>32415949.623093151</v>
      </c>
      <c r="AA110" s="182">
        <f t="shared" ref="AA110:AA131" si="185">Q110-AA$107</f>
        <v>2527130.2624405567</v>
      </c>
      <c r="AB110" s="195">
        <f t="shared" ref="AB110:AB131" si="186">R110-AB$107</f>
        <v>374183.87144106405</v>
      </c>
      <c r="AC110" s="212"/>
      <c r="AD110" s="182">
        <f t="shared" ref="AD110:AD131" si="187">O110-AD$107</f>
        <v>1304528240.4498589</v>
      </c>
      <c r="AE110" s="182">
        <f t="shared" ref="AE110:AE131" si="188">P110-AE$107</f>
        <v>31031617.618598267</v>
      </c>
      <c r="AF110" s="182">
        <f t="shared" ref="AF110:AF131" si="189">Q110-AF$107</f>
        <v>2046177.7388340123</v>
      </c>
      <c r="AG110" s="195">
        <f t="shared" ref="AG110:AG131" si="190">R110-AG$107</f>
        <v>141598.05760213814</v>
      </c>
      <c r="AI110" s="182">
        <f t="shared" si="176"/>
        <v>1305908890.8896215</v>
      </c>
      <c r="AJ110" s="182">
        <f t="shared" si="168"/>
        <v>31890689.003339525</v>
      </c>
      <c r="AK110" s="182">
        <f t="shared" si="169"/>
        <v>2260945.5850193263</v>
      </c>
      <c r="AL110" s="195">
        <f t="shared" si="170"/>
        <v>172279.17848575441</v>
      </c>
    </row>
    <row r="111" spans="4:38" x14ac:dyDescent="0.3">
      <c r="H111" s="111"/>
      <c r="I111" s="8" t="s">
        <v>837</v>
      </c>
      <c r="J111" s="170">
        <f>$C$75*J72</f>
        <v>635588399.45354033</v>
      </c>
      <c r="K111" s="170">
        <f t="shared" ref="K111:M111" si="191">$C$75*K72</f>
        <v>21756250.287635252</v>
      </c>
      <c r="L111" s="170">
        <f t="shared" si="191"/>
        <v>2416382.9965864602</v>
      </c>
      <c r="M111" s="170">
        <f t="shared" si="191"/>
        <v>396556.38898150198</v>
      </c>
      <c r="N111" s="8"/>
      <c r="O111" s="194">
        <f t="shared" si="178"/>
        <v>1319122923.5776598</v>
      </c>
      <c r="P111" s="194">
        <f t="shared" si="172"/>
        <v>32596267.008044749</v>
      </c>
      <c r="Q111" s="194">
        <f t="shared" si="172"/>
        <v>2548136.1327255401</v>
      </c>
      <c r="R111" s="196">
        <f t="shared" si="172"/>
        <v>388265.29677849804</v>
      </c>
      <c r="S111" s="8"/>
      <c r="T111" s="194">
        <f t="shared" si="179"/>
        <v>1319063827.5776598</v>
      </c>
      <c r="U111" s="194">
        <f t="shared" si="180"/>
        <v>32586086.008044749</v>
      </c>
      <c r="V111" s="194">
        <f t="shared" si="181"/>
        <v>2539311.1327255401</v>
      </c>
      <c r="W111" s="196">
        <f t="shared" si="182"/>
        <v>379517.29677849804</v>
      </c>
      <c r="X111" s="8"/>
      <c r="Y111" s="194">
        <f t="shared" si="183"/>
        <v>1318998483.5776598</v>
      </c>
      <c r="Z111" s="194">
        <f t="shared" si="184"/>
        <v>32579430.008044749</v>
      </c>
      <c r="AA111" s="194">
        <f t="shared" si="185"/>
        <v>2534281.1327255401</v>
      </c>
      <c r="AB111" s="196">
        <f t="shared" si="186"/>
        <v>374580.29677849804</v>
      </c>
      <c r="AC111" s="8"/>
      <c r="AD111" s="194">
        <f t="shared" si="187"/>
        <v>1315369511.4825449</v>
      </c>
      <c r="AE111" s="194">
        <f t="shared" si="188"/>
        <v>31195098.003549866</v>
      </c>
      <c r="AF111" s="194">
        <f t="shared" si="189"/>
        <v>2053328.6091189957</v>
      </c>
      <c r="AG111" s="196">
        <f t="shared" si="190"/>
        <v>141994.48293957213</v>
      </c>
      <c r="AI111" s="194">
        <f t="shared" si="176"/>
        <v>1316750161.9223075</v>
      </c>
      <c r="AJ111" s="194">
        <f t="shared" si="168"/>
        <v>32054169.388291124</v>
      </c>
      <c r="AK111" s="194">
        <f t="shared" si="169"/>
        <v>2268096.4553043097</v>
      </c>
      <c r="AL111" s="196">
        <f t="shared" si="170"/>
        <v>172675.6038231884</v>
      </c>
    </row>
    <row r="112" spans="4:38" s="217" customFormat="1" x14ac:dyDescent="0.3">
      <c r="H112" s="237"/>
      <c r="I112" s="145" t="s">
        <v>1012</v>
      </c>
      <c r="J112" s="101">
        <f>$C$79*J103</f>
        <v>7179077.617233431</v>
      </c>
      <c r="K112" s="101">
        <f t="shared" ref="K112:M113" si="192">$C$79*K103</f>
        <v>226835.4510587524</v>
      </c>
      <c r="L112" s="101">
        <f t="shared" si="192"/>
        <v>24191.541144354589</v>
      </c>
      <c r="M112" s="101">
        <f t="shared" si="192"/>
        <v>3899.3497097154609</v>
      </c>
      <c r="N112" s="207"/>
      <c r="O112" s="182">
        <f>E$81-J112</f>
        <v>11863720.091736523</v>
      </c>
      <c r="P112" s="195">
        <f t="shared" ref="P112" si="193">F$81-K112</f>
        <v>302666.77243576222</v>
      </c>
      <c r="Q112" s="183">
        <f t="shared" ref="Q112" si="194">G$81-L112</f>
        <v>24172.804213402924</v>
      </c>
      <c r="R112" s="184">
        <f t="shared" ref="R112" si="195">H$81-M112</f>
        <v>3746.38315295846</v>
      </c>
      <c r="S112" s="207"/>
      <c r="T112" s="182">
        <f t="shared" ref="T112" si="196">O112-T$107</f>
        <v>11804624.091736523</v>
      </c>
      <c r="U112" s="195">
        <f t="shared" ref="U112" si="197">P112-U$107</f>
        <v>292485.77243576222</v>
      </c>
      <c r="V112" s="183">
        <f t="shared" ref="V112" si="198">Q112-V$107</f>
        <v>15347.804213402924</v>
      </c>
      <c r="W112" s="184">
        <f t="shared" ref="W112" si="199">R112-W$107</f>
        <v>-5001.6168470415396</v>
      </c>
      <c r="X112" s="207"/>
      <c r="Y112" s="182">
        <f t="shared" ref="Y112" si="200">O112-Y$107</f>
        <v>11739280.091736523</v>
      </c>
      <c r="Z112" s="195">
        <f t="shared" ref="Z112" si="201">P112-Z$107</f>
        <v>285829.77243576222</v>
      </c>
      <c r="AA112" s="183">
        <f t="shared" ref="AA112" si="202">Q112-AA$107</f>
        <v>10317.804213402924</v>
      </c>
      <c r="AB112" s="184">
        <f t="shared" ref="AB112" si="203">R112-AB$107</f>
        <v>-9938.6168470415396</v>
      </c>
      <c r="AC112" s="207"/>
      <c r="AD112" s="182">
        <f t="shared" ref="AD112" si="204">O112-AD$107</f>
        <v>8110307.996621538</v>
      </c>
      <c r="AE112" s="184">
        <f t="shared" ref="AE112" si="205">P112-AE$107</f>
        <v>-1098502.2320591204</v>
      </c>
      <c r="AF112" s="184">
        <f t="shared" ref="AF112" si="206">Q112-AF$107</f>
        <v>-470634.71939314157</v>
      </c>
      <c r="AG112" s="184">
        <f t="shared" ref="AG112" si="207">R112-AG$107</f>
        <v>-242524.43068596744</v>
      </c>
      <c r="AI112" s="182">
        <f t="shared" si="176"/>
        <v>9490958.43638427</v>
      </c>
      <c r="AJ112" s="184">
        <f t="shared" si="168"/>
        <v>-239430.84731786454</v>
      </c>
      <c r="AK112" s="184">
        <f t="shared" si="169"/>
        <v>-255866.87320782756</v>
      </c>
      <c r="AL112" s="184">
        <f t="shared" si="170"/>
        <v>-211843.30980235117</v>
      </c>
    </row>
    <row r="113" spans="8:38" ht="28.8" x14ac:dyDescent="0.3">
      <c r="H113" s="169" t="s">
        <v>920</v>
      </c>
      <c r="I113" s="168" t="s">
        <v>835</v>
      </c>
      <c r="J113" s="101">
        <f>$C$79*J104</f>
        <v>6621671.1495468561</v>
      </c>
      <c r="K113" s="101">
        <f t="shared" si="192"/>
        <v>218430.06910333669</v>
      </c>
      <c r="L113" s="101">
        <f t="shared" si="192"/>
        <v>23823.877488089565</v>
      </c>
      <c r="M113" s="101">
        <f t="shared" si="192"/>
        <v>3878.9674089340883</v>
      </c>
      <c r="O113" s="182">
        <f>E$81-J113</f>
        <v>12421126.559423098</v>
      </c>
      <c r="P113" s="195">
        <f t="shared" ref="P113:R115" si="208">F$81-K113</f>
        <v>311072.15439117793</v>
      </c>
      <c r="Q113" s="183">
        <f t="shared" si="208"/>
        <v>24540.467869667948</v>
      </c>
      <c r="R113" s="184">
        <f t="shared" si="208"/>
        <v>3766.7654537398325</v>
      </c>
      <c r="T113" s="182">
        <f t="shared" si="179"/>
        <v>12362030.559423098</v>
      </c>
      <c r="U113" s="195">
        <f t="shared" si="180"/>
        <v>300891.15439117793</v>
      </c>
      <c r="V113" s="183">
        <f t="shared" si="181"/>
        <v>15715.467869667948</v>
      </c>
      <c r="W113" s="184">
        <f t="shared" si="182"/>
        <v>-4981.2345462601679</v>
      </c>
      <c r="X113" s="212"/>
      <c r="Y113" s="182">
        <f t="shared" si="183"/>
        <v>12296686.559423098</v>
      </c>
      <c r="Z113" s="195">
        <f t="shared" si="184"/>
        <v>294235.15439117793</v>
      </c>
      <c r="AA113" s="183">
        <f t="shared" si="185"/>
        <v>10685.467869667948</v>
      </c>
      <c r="AB113" s="184">
        <f t="shared" si="186"/>
        <v>-9918.2345462601679</v>
      </c>
      <c r="AC113" s="212"/>
      <c r="AD113" s="182">
        <f t="shared" si="187"/>
        <v>8667714.4643081129</v>
      </c>
      <c r="AE113" s="184">
        <f t="shared" si="188"/>
        <v>-1090096.8501037047</v>
      </c>
      <c r="AF113" s="184">
        <f t="shared" si="189"/>
        <v>-470267.05573687656</v>
      </c>
      <c r="AG113" s="184">
        <f t="shared" si="190"/>
        <v>-242504.04838518609</v>
      </c>
      <c r="AI113" s="182">
        <f t="shared" si="176"/>
        <v>10048364.904070845</v>
      </c>
      <c r="AJ113" s="184">
        <f t="shared" si="168"/>
        <v>-231025.46536244883</v>
      </c>
      <c r="AK113" s="184">
        <f t="shared" si="169"/>
        <v>-255499.20955156253</v>
      </c>
      <c r="AL113" s="184">
        <f t="shared" si="170"/>
        <v>-211822.92750156982</v>
      </c>
    </row>
    <row r="114" spans="8:38" x14ac:dyDescent="0.3">
      <c r="H114" s="169"/>
      <c r="I114" s="168" t="s">
        <v>836</v>
      </c>
      <c r="J114" s="101">
        <f>$C$79*J105</f>
        <v>6297517.8498768182</v>
      </c>
      <c r="K114" s="101">
        <f t="shared" ref="K114:M115" si="209">$C$79*K105</f>
        <v>213542.01621234111</v>
      </c>
      <c r="L114" s="101">
        <f t="shared" si="209"/>
        <v>23610.066931061607</v>
      </c>
      <c r="M114" s="101">
        <f t="shared" si="209"/>
        <v>3867.1143170950745</v>
      </c>
      <c r="O114" s="182">
        <f t="shared" ref="O114:O115" si="210">E$81-J114</f>
        <v>12745279.859093137</v>
      </c>
      <c r="P114" s="195">
        <f t="shared" si="208"/>
        <v>315960.20728217345</v>
      </c>
      <c r="Q114" s="183">
        <f t="shared" si="208"/>
        <v>24754.278426695906</v>
      </c>
      <c r="R114" s="184">
        <f t="shared" si="208"/>
        <v>3778.6185455788464</v>
      </c>
      <c r="T114" s="182">
        <f t="shared" si="179"/>
        <v>12686183.859093137</v>
      </c>
      <c r="U114" s="195">
        <f t="shared" si="180"/>
        <v>305779.20728217345</v>
      </c>
      <c r="V114" s="183">
        <f t="shared" si="181"/>
        <v>15929.278426695906</v>
      </c>
      <c r="W114" s="184">
        <f t="shared" si="182"/>
        <v>-4969.3814544211536</v>
      </c>
      <c r="X114" s="212"/>
      <c r="Y114" s="182">
        <f t="shared" si="183"/>
        <v>12620839.859093137</v>
      </c>
      <c r="Z114" s="195">
        <f t="shared" si="184"/>
        <v>299123.20728217345</v>
      </c>
      <c r="AA114" s="183">
        <f t="shared" si="185"/>
        <v>10899.278426695906</v>
      </c>
      <c r="AB114" s="184">
        <f t="shared" si="186"/>
        <v>-9906.3814544211527</v>
      </c>
      <c r="AC114" s="212"/>
      <c r="AD114" s="182">
        <f t="shared" si="187"/>
        <v>8991867.7639781516</v>
      </c>
      <c r="AE114" s="184">
        <f t="shared" si="188"/>
        <v>-1085208.7972127092</v>
      </c>
      <c r="AF114" s="184">
        <f t="shared" si="189"/>
        <v>-470053.24517984857</v>
      </c>
      <c r="AG114" s="184">
        <f t="shared" si="190"/>
        <v>-242492.19529334706</v>
      </c>
      <c r="AI114" s="182">
        <f t="shared" si="176"/>
        <v>10372518.203740884</v>
      </c>
      <c r="AJ114" s="184">
        <f t="shared" si="168"/>
        <v>-226137.41247145331</v>
      </c>
      <c r="AK114" s="184">
        <f t="shared" si="169"/>
        <v>-255285.39899453457</v>
      </c>
      <c r="AL114" s="184">
        <f t="shared" si="170"/>
        <v>-211811.07440973079</v>
      </c>
    </row>
    <row r="115" spans="8:38" x14ac:dyDescent="0.3">
      <c r="H115" s="111"/>
      <c r="I115" s="8" t="s">
        <v>837</v>
      </c>
      <c r="J115" s="170">
        <f>$C$79*J106</f>
        <v>6191902.18747639</v>
      </c>
      <c r="K115" s="170">
        <f t="shared" si="209"/>
        <v>211949.39030214265</v>
      </c>
      <c r="L115" s="170">
        <f t="shared" si="209"/>
        <v>23540.403152745297</v>
      </c>
      <c r="M115" s="170">
        <f t="shared" si="209"/>
        <v>3863.2523414577927</v>
      </c>
      <c r="N115" s="8"/>
      <c r="O115" s="194">
        <f t="shared" si="210"/>
        <v>12850895.521493565</v>
      </c>
      <c r="P115" s="196">
        <f t="shared" si="208"/>
        <v>317552.83319237194</v>
      </c>
      <c r="Q115" s="193">
        <f t="shared" si="208"/>
        <v>24823.942205012216</v>
      </c>
      <c r="R115" s="197">
        <f t="shared" si="208"/>
        <v>3782.4805212161282</v>
      </c>
      <c r="S115" s="8"/>
      <c r="T115" s="194">
        <f t="shared" si="179"/>
        <v>12791799.521493565</v>
      </c>
      <c r="U115" s="196">
        <f t="shared" si="180"/>
        <v>307371.83319237194</v>
      </c>
      <c r="V115" s="193">
        <f t="shared" si="181"/>
        <v>15998.942205012216</v>
      </c>
      <c r="W115" s="197">
        <f t="shared" si="182"/>
        <v>-4965.5194787838718</v>
      </c>
      <c r="X115" s="8"/>
      <c r="Y115" s="194">
        <f t="shared" si="183"/>
        <v>12726455.521493565</v>
      </c>
      <c r="Z115" s="196">
        <f t="shared" si="184"/>
        <v>300715.83319237194</v>
      </c>
      <c r="AA115" s="193">
        <f t="shared" si="185"/>
        <v>10968.942205012216</v>
      </c>
      <c r="AB115" s="197">
        <f t="shared" si="186"/>
        <v>-9902.5194787838718</v>
      </c>
      <c r="AC115" s="8"/>
      <c r="AD115" s="194">
        <f t="shared" si="187"/>
        <v>9097483.4263785798</v>
      </c>
      <c r="AE115" s="197">
        <f t="shared" si="188"/>
        <v>-1083616.1713025107</v>
      </c>
      <c r="AF115" s="197">
        <f t="shared" si="189"/>
        <v>-469983.58140153228</v>
      </c>
      <c r="AG115" s="197">
        <f t="shared" si="190"/>
        <v>-242488.3333177098</v>
      </c>
      <c r="AI115" s="194">
        <f t="shared" si="176"/>
        <v>10478133.866141312</v>
      </c>
      <c r="AJ115" s="197">
        <f t="shared" si="168"/>
        <v>-224544.78656125482</v>
      </c>
      <c r="AK115" s="197">
        <f t="shared" si="169"/>
        <v>-255215.73521621825</v>
      </c>
      <c r="AL115" s="197">
        <f t="shared" si="170"/>
        <v>-211807.21243409353</v>
      </c>
    </row>
    <row r="116" spans="8:38" s="217" customFormat="1" x14ac:dyDescent="0.3">
      <c r="H116" s="237"/>
      <c r="I116" s="145" t="s">
        <v>1012</v>
      </c>
      <c r="J116" s="101">
        <f>$C$83*J103</f>
        <v>1741342.6821517753</v>
      </c>
      <c r="K116" s="101">
        <f t="shared" ref="K116:M117" si="211">$C$83*K103</f>
        <v>55020.752499674803</v>
      </c>
      <c r="L116" s="101">
        <f t="shared" si="211"/>
        <v>5867.8517474963965</v>
      </c>
      <c r="M116" s="101">
        <f t="shared" si="211"/>
        <v>945.81845247974059</v>
      </c>
      <c r="N116" s="207"/>
      <c r="O116" s="182">
        <f>E$85-J116</f>
        <v>2877640.1741709509</v>
      </c>
      <c r="P116" s="183">
        <f t="shared" ref="P116" si="212">F$85-K116</f>
        <v>73414.245870017039</v>
      </c>
      <c r="Q116" s="184">
        <f t="shared" ref="Q116" si="213">G$85-L116</f>
        <v>5863.3069550678601</v>
      </c>
      <c r="R116" s="184">
        <f t="shared" ref="R116" si="214">H$85-M116</f>
        <v>908.71519097113958</v>
      </c>
      <c r="S116" s="207"/>
      <c r="T116" s="182">
        <f t="shared" ref="T116" si="215">O116-T$107</f>
        <v>2818544.1741709509</v>
      </c>
      <c r="U116" s="183">
        <f t="shared" ref="U116" si="216">P116-U$107</f>
        <v>63233.245870017039</v>
      </c>
      <c r="V116" s="184">
        <f t="shared" ref="V116" si="217">Q116-V$107</f>
        <v>-2961.6930449321399</v>
      </c>
      <c r="W116" s="184">
        <f t="shared" ref="W116" si="218">R116-W$107</f>
        <v>-7839.2848090288608</v>
      </c>
      <c r="X116" s="207"/>
      <c r="Y116" s="182">
        <f t="shared" ref="Y116" si="219">O116-Y$107</f>
        <v>2753200.1741709509</v>
      </c>
      <c r="Z116" s="183">
        <f t="shared" ref="Z116" si="220">P116-Z$107</f>
        <v>56577.245870017039</v>
      </c>
      <c r="AA116" s="184">
        <f t="shared" ref="AA116" si="221">Q116-AA$107</f>
        <v>-7991.6930449321399</v>
      </c>
      <c r="AB116" s="184">
        <f t="shared" ref="AB116" si="222">R116-AB$107</f>
        <v>-12776.284809028861</v>
      </c>
      <c r="AC116" s="207"/>
      <c r="AD116" s="184">
        <f t="shared" ref="AD116" si="223">O116-AD$107</f>
        <v>-875771.92094403505</v>
      </c>
      <c r="AE116" s="184">
        <f t="shared" ref="AE116" si="224">P116-AE$107</f>
        <v>-1327754.7586248657</v>
      </c>
      <c r="AF116" s="184">
        <f t="shared" ref="AF116" si="225">Q116-AF$107</f>
        <v>-488944.21665147663</v>
      </c>
      <c r="AG116" s="184">
        <f t="shared" ref="AG116" si="226">R116-AG$107</f>
        <v>-245362.09864795476</v>
      </c>
      <c r="AI116" s="195">
        <f t="shared" si="176"/>
        <v>504878.51881869789</v>
      </c>
      <c r="AJ116" s="184">
        <f t="shared" si="168"/>
        <v>-468683.37388360972</v>
      </c>
      <c r="AK116" s="184">
        <f t="shared" si="169"/>
        <v>-274176.37046616263</v>
      </c>
      <c r="AL116" s="184">
        <f t="shared" si="170"/>
        <v>-214680.97776433849</v>
      </c>
    </row>
    <row r="117" spans="8:38" ht="28.8" x14ac:dyDescent="0.3">
      <c r="H117" s="169" t="s">
        <v>921</v>
      </c>
      <c r="I117" s="168" t="s">
        <v>835</v>
      </c>
      <c r="J117" s="101">
        <f>$C$83*J104</f>
        <v>1606139.2862224614</v>
      </c>
      <c r="K117" s="101">
        <f t="shared" si="211"/>
        <v>52981.959894393818</v>
      </c>
      <c r="L117" s="101">
        <f t="shared" si="211"/>
        <v>5778.671987718707</v>
      </c>
      <c r="M117" s="101">
        <f t="shared" si="211"/>
        <v>940.87456244213206</v>
      </c>
      <c r="O117" s="182">
        <f>E$85-J117</f>
        <v>3012843.5701002646</v>
      </c>
      <c r="P117" s="183">
        <f t="shared" ref="P117:R119" si="227">F$85-K117</f>
        <v>75453.038475298032</v>
      </c>
      <c r="Q117" s="184">
        <f t="shared" si="227"/>
        <v>5952.4867148455496</v>
      </c>
      <c r="R117" s="184">
        <f t="shared" si="227"/>
        <v>913.6590810087481</v>
      </c>
      <c r="T117" s="182">
        <f t="shared" si="179"/>
        <v>2953747.5701002646</v>
      </c>
      <c r="U117" s="183">
        <f t="shared" si="180"/>
        <v>65272.038475298032</v>
      </c>
      <c r="V117" s="184">
        <f t="shared" si="181"/>
        <v>-2872.5132851544504</v>
      </c>
      <c r="W117" s="184">
        <f t="shared" si="182"/>
        <v>-7834.3409189912518</v>
      </c>
      <c r="X117" s="212"/>
      <c r="Y117" s="182">
        <f t="shared" si="183"/>
        <v>2888403.5701002646</v>
      </c>
      <c r="Z117" s="183">
        <f t="shared" si="184"/>
        <v>58616.038475298032</v>
      </c>
      <c r="AA117" s="184">
        <f t="shared" si="185"/>
        <v>-7902.5132851544504</v>
      </c>
      <c r="AB117" s="184">
        <f t="shared" si="186"/>
        <v>-12771.340918991253</v>
      </c>
      <c r="AC117" s="212"/>
      <c r="AD117" s="184">
        <f t="shared" si="187"/>
        <v>-740568.52501472132</v>
      </c>
      <c r="AE117" s="184">
        <f t="shared" si="188"/>
        <v>-1325715.9660195846</v>
      </c>
      <c r="AF117" s="184">
        <f t="shared" si="189"/>
        <v>-488855.03689169895</v>
      </c>
      <c r="AG117" s="184">
        <f t="shared" si="190"/>
        <v>-245357.15475791716</v>
      </c>
      <c r="AI117" s="195">
        <f t="shared" si="176"/>
        <v>640081.91474801162</v>
      </c>
      <c r="AJ117" s="184">
        <f t="shared" si="168"/>
        <v>-466644.58127832873</v>
      </c>
      <c r="AK117" s="184">
        <f t="shared" si="169"/>
        <v>-274087.19070638495</v>
      </c>
      <c r="AL117" s="184">
        <f t="shared" si="170"/>
        <v>-214676.03387430089</v>
      </c>
    </row>
    <row r="118" spans="8:38" x14ac:dyDescent="0.3">
      <c r="H118" s="169"/>
      <c r="I118" s="168" t="s">
        <v>836</v>
      </c>
      <c r="J118" s="101">
        <f>$C$83*J105</f>
        <v>1527513.3113589531</v>
      </c>
      <c r="K118" s="101">
        <f t="shared" ref="K118:M119" si="228">$C$83*K105</f>
        <v>51796.323579322729</v>
      </c>
      <c r="L118" s="101">
        <f t="shared" si="228"/>
        <v>5726.8105274172212</v>
      </c>
      <c r="M118" s="101">
        <f t="shared" si="228"/>
        <v>937.99950023564577</v>
      </c>
      <c r="O118" s="182">
        <f t="shared" ref="O118:O119" si="229">E$85-J118</f>
        <v>3091469.5449637733</v>
      </c>
      <c r="P118" s="183">
        <f t="shared" si="227"/>
        <v>76638.674790369114</v>
      </c>
      <c r="Q118" s="184">
        <f t="shared" si="227"/>
        <v>6004.3481751470354</v>
      </c>
      <c r="R118" s="184">
        <f t="shared" si="227"/>
        <v>916.53414321523439</v>
      </c>
      <c r="T118" s="182">
        <f t="shared" si="179"/>
        <v>3032373.5449637733</v>
      </c>
      <c r="U118" s="183">
        <f t="shared" si="180"/>
        <v>66457.674790369114</v>
      </c>
      <c r="V118" s="184">
        <f t="shared" si="181"/>
        <v>-2820.6518248529646</v>
      </c>
      <c r="W118" s="184">
        <f t="shared" si="182"/>
        <v>-7831.4658567847655</v>
      </c>
      <c r="X118" s="212"/>
      <c r="Y118" s="182">
        <f t="shared" si="183"/>
        <v>2967029.5449637733</v>
      </c>
      <c r="Z118" s="183">
        <f t="shared" si="184"/>
        <v>59801.674790369114</v>
      </c>
      <c r="AA118" s="184">
        <f t="shared" si="185"/>
        <v>-7850.6518248529646</v>
      </c>
      <c r="AB118" s="184">
        <f t="shared" si="186"/>
        <v>-12768.465856784765</v>
      </c>
      <c r="AC118" s="212"/>
      <c r="AD118" s="184">
        <f t="shared" si="187"/>
        <v>-661942.55015121261</v>
      </c>
      <c r="AE118" s="184">
        <f t="shared" si="188"/>
        <v>-1324530.3297045135</v>
      </c>
      <c r="AF118" s="184">
        <f t="shared" si="189"/>
        <v>-488803.17543139745</v>
      </c>
      <c r="AG118" s="184">
        <f t="shared" si="190"/>
        <v>-245354.27969571069</v>
      </c>
      <c r="AI118" s="195">
        <f t="shared" si="176"/>
        <v>718707.88961152034</v>
      </c>
      <c r="AJ118" s="184">
        <f t="shared" si="168"/>
        <v>-465458.94496325764</v>
      </c>
      <c r="AK118" s="184">
        <f t="shared" si="169"/>
        <v>-274035.32924608345</v>
      </c>
      <c r="AL118" s="184">
        <f t="shared" si="170"/>
        <v>-214673.15881209442</v>
      </c>
    </row>
    <row r="119" spans="8:38" x14ac:dyDescent="0.3">
      <c r="H119" s="111"/>
      <c r="I119" s="8" t="s">
        <v>837</v>
      </c>
      <c r="J119" s="170">
        <f>$C$83*J106</f>
        <v>1501895.3879087158</v>
      </c>
      <c r="K119" s="170">
        <f t="shared" si="228"/>
        <v>51410.019429682099</v>
      </c>
      <c r="L119" s="170">
        <f t="shared" si="228"/>
        <v>5709.9130209338055</v>
      </c>
      <c r="M119" s="170">
        <f t="shared" si="228"/>
        <v>937.06274716328926</v>
      </c>
      <c r="N119" s="8"/>
      <c r="O119" s="194">
        <f t="shared" si="229"/>
        <v>3117087.4684140105</v>
      </c>
      <c r="P119" s="193">
        <f t="shared" si="227"/>
        <v>77024.978940009751</v>
      </c>
      <c r="Q119" s="197">
        <f t="shared" si="227"/>
        <v>6021.2456816304511</v>
      </c>
      <c r="R119" s="197">
        <f t="shared" si="227"/>
        <v>917.4708962875909</v>
      </c>
      <c r="S119" s="8"/>
      <c r="T119" s="194">
        <f t="shared" si="179"/>
        <v>3057991.4684140105</v>
      </c>
      <c r="U119" s="193">
        <f t="shared" si="180"/>
        <v>66843.978940009751</v>
      </c>
      <c r="V119" s="197">
        <f t="shared" si="181"/>
        <v>-2803.7543183695489</v>
      </c>
      <c r="W119" s="197">
        <f t="shared" si="182"/>
        <v>-7830.5291037124089</v>
      </c>
      <c r="X119" s="8"/>
      <c r="Y119" s="194">
        <f t="shared" si="183"/>
        <v>2992647.4684140105</v>
      </c>
      <c r="Z119" s="193">
        <f t="shared" si="184"/>
        <v>60187.978940009751</v>
      </c>
      <c r="AA119" s="197">
        <f t="shared" si="185"/>
        <v>-7833.7543183695489</v>
      </c>
      <c r="AB119" s="197">
        <f t="shared" si="186"/>
        <v>-12767.52910371241</v>
      </c>
      <c r="AC119" s="8"/>
      <c r="AD119" s="197">
        <f t="shared" si="187"/>
        <v>-636324.62670097547</v>
      </c>
      <c r="AE119" s="197">
        <f t="shared" si="188"/>
        <v>-1324144.0255548728</v>
      </c>
      <c r="AF119" s="197">
        <f t="shared" si="189"/>
        <v>-488786.27792491403</v>
      </c>
      <c r="AG119" s="197">
        <f t="shared" si="190"/>
        <v>-245353.34294263832</v>
      </c>
      <c r="AI119" s="196">
        <f t="shared" si="176"/>
        <v>744325.81306175748</v>
      </c>
      <c r="AJ119" s="197">
        <f t="shared" si="168"/>
        <v>-465072.64081361704</v>
      </c>
      <c r="AK119" s="197">
        <f t="shared" si="169"/>
        <v>-274018.43173960003</v>
      </c>
      <c r="AL119" s="197">
        <f t="shared" si="170"/>
        <v>-214672.22205902205</v>
      </c>
    </row>
    <row r="120" spans="8:38" s="217" customFormat="1" x14ac:dyDescent="0.3">
      <c r="H120" s="237"/>
      <c r="I120" s="145" t="s">
        <v>1012</v>
      </c>
      <c r="J120" s="101">
        <f>$C$87*J103</f>
        <v>222549.93229362514</v>
      </c>
      <c r="K120" s="101">
        <f t="shared" ref="K120:M121" si="230">$C$87*K103</f>
        <v>7031.85241426229</v>
      </c>
      <c r="L120" s="101">
        <f t="shared" si="230"/>
        <v>749.93280903254833</v>
      </c>
      <c r="M120" s="101">
        <f t="shared" si="230"/>
        <v>120.8790404777324</v>
      </c>
      <c r="N120" s="207"/>
      <c r="O120" s="195">
        <f>E$89-J120</f>
        <v>367772.88726179738</v>
      </c>
      <c r="P120" s="184">
        <f t="shared" ref="P120" si="231">F$89-K120</f>
        <v>9382.607809033072</v>
      </c>
      <c r="Q120" s="184">
        <f t="shared" ref="Q120" si="232">G$89-L120</f>
        <v>749.35196801967584</v>
      </c>
      <c r="R120" s="184">
        <f t="shared" ref="R120" si="233">H$89-M120</f>
        <v>116.13710862178762</v>
      </c>
      <c r="S120" s="207"/>
      <c r="T120" s="195">
        <f t="shared" ref="T120" si="234">O120-T$107</f>
        <v>308676.88726179738</v>
      </c>
      <c r="U120" s="184">
        <f t="shared" ref="U120" si="235">P120-U$107</f>
        <v>-798.39219096692796</v>
      </c>
      <c r="V120" s="184">
        <f t="shared" ref="V120" si="236">Q120-V$107</f>
        <v>-8075.648031980324</v>
      </c>
      <c r="W120" s="184">
        <f t="shared" ref="W120" si="237">R120-W$107</f>
        <v>-8631.8628913782122</v>
      </c>
      <c r="X120" s="207"/>
      <c r="Y120" s="195">
        <f t="shared" ref="Y120" si="238">O120-Y$107</f>
        <v>243332.88726179738</v>
      </c>
      <c r="Z120" s="184">
        <f t="shared" ref="Z120" si="239">P120-Z$107</f>
        <v>-7454.392190966928</v>
      </c>
      <c r="AA120" s="184">
        <f t="shared" ref="AA120" si="240">Q120-AA$107</f>
        <v>-13105.648031980325</v>
      </c>
      <c r="AB120" s="184">
        <f t="shared" ref="AB120" si="241">R120-AB$107</f>
        <v>-13568.862891378212</v>
      </c>
      <c r="AC120" s="207"/>
      <c r="AD120" s="184">
        <f t="shared" ref="AD120" si="242">O120-AD$107</f>
        <v>-3385639.2078531887</v>
      </c>
      <c r="AE120" s="184">
        <f t="shared" ref="AE120" si="243">P120-AE$107</f>
        <v>-1391786.3966858496</v>
      </c>
      <c r="AF120" s="184">
        <f t="shared" ref="AF120" si="244">Q120-AF$107</f>
        <v>-494058.1716385248</v>
      </c>
      <c r="AG120" s="184">
        <f t="shared" ref="AG120" si="245">R120-AG$107</f>
        <v>-246154.67673030411</v>
      </c>
      <c r="AI120" s="184">
        <f t="shared" si="176"/>
        <v>-2004988.7680904556</v>
      </c>
      <c r="AJ120" s="184">
        <f t="shared" si="168"/>
        <v>-532715.01194459363</v>
      </c>
      <c r="AK120" s="184">
        <f t="shared" si="169"/>
        <v>-279290.3254532108</v>
      </c>
      <c r="AL120" s="184">
        <f t="shared" si="170"/>
        <v>-215473.55584668784</v>
      </c>
    </row>
    <row r="121" spans="8:38" ht="28.8" x14ac:dyDescent="0.3">
      <c r="H121" s="169" t="s">
        <v>922</v>
      </c>
      <c r="I121" s="168" t="s">
        <v>835</v>
      </c>
      <c r="J121" s="101">
        <f>$C$87*J104</f>
        <v>205270.44622902386</v>
      </c>
      <c r="K121" s="101">
        <f t="shared" si="230"/>
        <v>6771.2872992411912</v>
      </c>
      <c r="L121" s="101">
        <f t="shared" si="230"/>
        <v>738.5353111684509</v>
      </c>
      <c r="M121" s="101">
        <f t="shared" si="230"/>
        <v>120.24719333792801</v>
      </c>
      <c r="O121" s="195">
        <f>E$89-J121</f>
        <v>385052.37332639867</v>
      </c>
      <c r="P121" s="184">
        <f t="shared" ref="P121:R123" si="246">F$89-K121</f>
        <v>9643.1729240541717</v>
      </c>
      <c r="Q121" s="184">
        <f t="shared" si="246"/>
        <v>760.74946588377327</v>
      </c>
      <c r="R121" s="184">
        <f t="shared" si="246"/>
        <v>116.76895576159201</v>
      </c>
      <c r="T121" s="195">
        <f t="shared" si="179"/>
        <v>325956.37332639867</v>
      </c>
      <c r="U121" s="184">
        <f t="shared" si="180"/>
        <v>-537.82707594582826</v>
      </c>
      <c r="V121" s="184">
        <f t="shared" si="181"/>
        <v>-8064.2505341162268</v>
      </c>
      <c r="W121" s="184">
        <f t="shared" si="182"/>
        <v>-8631.2310442384078</v>
      </c>
      <c r="X121" s="212"/>
      <c r="Y121" s="195">
        <f t="shared" si="183"/>
        <v>260612.37332639867</v>
      </c>
      <c r="Z121" s="184">
        <f t="shared" si="184"/>
        <v>-7193.8270759458283</v>
      </c>
      <c r="AA121" s="184">
        <f t="shared" si="185"/>
        <v>-13094.250534116227</v>
      </c>
      <c r="AB121" s="184">
        <f t="shared" si="186"/>
        <v>-13568.231044238408</v>
      </c>
      <c r="AC121" s="212"/>
      <c r="AD121" s="184">
        <f t="shared" si="187"/>
        <v>-3368359.721788587</v>
      </c>
      <c r="AE121" s="184">
        <f t="shared" si="188"/>
        <v>-1391525.8315708286</v>
      </c>
      <c r="AF121" s="184">
        <f t="shared" si="189"/>
        <v>-494046.77414066071</v>
      </c>
      <c r="AG121" s="184">
        <f t="shared" si="190"/>
        <v>-246154.04488316432</v>
      </c>
      <c r="AI121" s="184">
        <f t="shared" si="176"/>
        <v>-1987709.2820258543</v>
      </c>
      <c r="AJ121" s="184">
        <f t="shared" si="168"/>
        <v>-532454.44682957255</v>
      </c>
      <c r="AK121" s="184">
        <f t="shared" si="169"/>
        <v>-279278.92795534671</v>
      </c>
      <c r="AL121" s="184">
        <f t="shared" si="170"/>
        <v>-215472.92399954805</v>
      </c>
    </row>
    <row r="122" spans="8:38" x14ac:dyDescent="0.3">
      <c r="H122" s="169"/>
      <c r="I122" s="168" t="s">
        <v>836</v>
      </c>
      <c r="J122" s="101">
        <f>$C$87*J105</f>
        <v>195221.76048684039</v>
      </c>
      <c r="K122" s="101">
        <f t="shared" ref="K122:M123" si="247">$C$87*K105</f>
        <v>6619.7586631212298</v>
      </c>
      <c r="L122" s="101">
        <f t="shared" si="247"/>
        <v>731.90722779517603</v>
      </c>
      <c r="M122" s="101">
        <f t="shared" si="247"/>
        <v>119.87974992431867</v>
      </c>
      <c r="O122" s="195">
        <f t="shared" ref="O122:O123" si="248">E$89-J122</f>
        <v>395101.05906858214</v>
      </c>
      <c r="P122" s="184">
        <f t="shared" si="246"/>
        <v>9794.7015601741332</v>
      </c>
      <c r="Q122" s="184">
        <f t="shared" si="246"/>
        <v>767.37754925704814</v>
      </c>
      <c r="R122" s="184">
        <f t="shared" si="246"/>
        <v>117.13639917520135</v>
      </c>
      <c r="T122" s="195">
        <f t="shared" si="179"/>
        <v>336005.05906858214</v>
      </c>
      <c r="U122" s="184">
        <f t="shared" si="180"/>
        <v>-386.29843982586681</v>
      </c>
      <c r="V122" s="184">
        <f t="shared" si="181"/>
        <v>-8057.6224507429515</v>
      </c>
      <c r="W122" s="184">
        <f t="shared" si="182"/>
        <v>-8630.8636008247995</v>
      </c>
      <c r="X122" s="212"/>
      <c r="Y122" s="195">
        <f t="shared" si="183"/>
        <v>270661.05906858214</v>
      </c>
      <c r="Z122" s="184">
        <f t="shared" si="184"/>
        <v>-7042.2984398258668</v>
      </c>
      <c r="AA122" s="184">
        <f t="shared" si="185"/>
        <v>-13087.622450742952</v>
      </c>
      <c r="AB122" s="184">
        <f t="shared" si="186"/>
        <v>-13567.8636008248</v>
      </c>
      <c r="AC122" s="212"/>
      <c r="AD122" s="184">
        <f t="shared" si="187"/>
        <v>-3358311.0360464039</v>
      </c>
      <c r="AE122" s="184">
        <f t="shared" si="188"/>
        <v>-1391374.3029347085</v>
      </c>
      <c r="AF122" s="184">
        <f t="shared" si="189"/>
        <v>-494040.14605728741</v>
      </c>
      <c r="AG122" s="184">
        <f t="shared" si="190"/>
        <v>-246153.6774397507</v>
      </c>
      <c r="AI122" s="184">
        <f t="shared" si="176"/>
        <v>-1977660.596283671</v>
      </c>
      <c r="AJ122" s="184">
        <f t="shared" si="168"/>
        <v>-532302.91819345264</v>
      </c>
      <c r="AK122" s="184">
        <f t="shared" si="169"/>
        <v>-279272.2998719734</v>
      </c>
      <c r="AL122" s="184">
        <f t="shared" si="170"/>
        <v>-215472.55655613443</v>
      </c>
    </row>
    <row r="123" spans="8:38" x14ac:dyDescent="0.3">
      <c r="H123" s="111"/>
      <c r="I123" s="8" t="s">
        <v>837</v>
      </c>
      <c r="J123" s="170">
        <f>$C$87*J106</f>
        <v>191947.69663496918</v>
      </c>
      <c r="K123" s="170">
        <f t="shared" si="247"/>
        <v>6570.387586865847</v>
      </c>
      <c r="L123" s="170">
        <f t="shared" si="247"/>
        <v>729.74766496911104</v>
      </c>
      <c r="M123" s="170">
        <f t="shared" si="247"/>
        <v>119.76002947241361</v>
      </c>
      <c r="N123" s="8"/>
      <c r="O123" s="196">
        <f t="shared" si="248"/>
        <v>398375.12292045332</v>
      </c>
      <c r="P123" s="197">
        <f t="shared" si="246"/>
        <v>9844.0726364295151</v>
      </c>
      <c r="Q123" s="197">
        <f t="shared" si="246"/>
        <v>769.53711208311313</v>
      </c>
      <c r="R123" s="197">
        <f t="shared" si="246"/>
        <v>117.25611962710641</v>
      </c>
      <c r="S123" s="8"/>
      <c r="T123" s="196">
        <f t="shared" si="179"/>
        <v>339279.12292045332</v>
      </c>
      <c r="U123" s="197">
        <f t="shared" si="180"/>
        <v>-336.92736357048489</v>
      </c>
      <c r="V123" s="197">
        <f t="shared" si="181"/>
        <v>-8055.4628879168868</v>
      </c>
      <c r="W123" s="197">
        <f t="shared" si="182"/>
        <v>-8630.7438803728928</v>
      </c>
      <c r="X123" s="8"/>
      <c r="Y123" s="196">
        <f t="shared" si="183"/>
        <v>273935.12292045332</v>
      </c>
      <c r="Z123" s="197">
        <f t="shared" si="184"/>
        <v>-6992.9273635704849</v>
      </c>
      <c r="AA123" s="197">
        <f t="shared" si="185"/>
        <v>-13085.462887916887</v>
      </c>
      <c r="AB123" s="197">
        <f t="shared" si="186"/>
        <v>-13567.743880372893</v>
      </c>
      <c r="AC123" s="8"/>
      <c r="AD123" s="197">
        <f t="shared" si="187"/>
        <v>-3355036.9721945329</v>
      </c>
      <c r="AE123" s="197">
        <f t="shared" si="188"/>
        <v>-1391324.9318584532</v>
      </c>
      <c r="AF123" s="197">
        <f t="shared" si="189"/>
        <v>-494037.98649446137</v>
      </c>
      <c r="AG123" s="197">
        <f t="shared" si="190"/>
        <v>-246153.55771929881</v>
      </c>
      <c r="AI123" s="197">
        <f t="shared" si="176"/>
        <v>-1974386.5324317997</v>
      </c>
      <c r="AJ123" s="197">
        <f t="shared" si="168"/>
        <v>-532253.54711719719</v>
      </c>
      <c r="AK123" s="197">
        <f t="shared" si="169"/>
        <v>-279270.14030914736</v>
      </c>
      <c r="AL123" s="197">
        <f t="shared" si="170"/>
        <v>-215472.43683568254</v>
      </c>
    </row>
    <row r="124" spans="8:38" s="217" customFormat="1" x14ac:dyDescent="0.3">
      <c r="H124" s="237"/>
      <c r="I124" s="145" t="s">
        <v>1012</v>
      </c>
      <c r="J124" s="101">
        <f>$C$91*J103</f>
        <v>16212.246723376664</v>
      </c>
      <c r="K124" s="101">
        <f t="shared" ref="K124:M125" si="249">$C$91*K103</f>
        <v>512.25414938334552</v>
      </c>
      <c r="L124" s="101">
        <f t="shared" si="249"/>
        <v>54.630866883165766</v>
      </c>
      <c r="M124" s="101">
        <f t="shared" si="249"/>
        <v>8.8057579155964003</v>
      </c>
      <c r="N124" s="207"/>
      <c r="O124" s="183">
        <f>E$93-J124</f>
        <v>26791.402383309738</v>
      </c>
      <c r="P124" s="184">
        <f t="shared" ref="P124" si="250">F$93-K124</f>
        <v>683.50123112161441</v>
      </c>
      <c r="Q124" s="184">
        <f t="shared" ref="Q124" si="251">G$93-L124</f>
        <v>54.588553961698238</v>
      </c>
      <c r="R124" s="184">
        <f t="shared" ref="R124" si="252">H$93-M124</f>
        <v>8.460319171123599</v>
      </c>
      <c r="S124" s="207"/>
      <c r="T124" s="184">
        <f t="shared" ref="T124" si="253">O124-T$107</f>
        <v>-32304.597616690262</v>
      </c>
      <c r="U124" s="184">
        <f t="shared" ref="U124" si="254">P124-U$107</f>
        <v>-9497.4987688783858</v>
      </c>
      <c r="V124" s="184">
        <f t="shared" ref="V124" si="255">Q124-V$107</f>
        <v>-8770.4114460383025</v>
      </c>
      <c r="W124" s="184">
        <f t="shared" ref="W124" si="256">R124-W$107</f>
        <v>-8739.539680828877</v>
      </c>
      <c r="X124" s="207"/>
      <c r="Y124" s="184">
        <f t="shared" ref="Y124" si="257">O124-Y$107</f>
        <v>-97648.597616690269</v>
      </c>
      <c r="Z124" s="184">
        <f t="shared" ref="Z124" si="258">P124-Z$107</f>
        <v>-16153.498768878386</v>
      </c>
      <c r="AA124" s="184">
        <f t="shared" ref="AA124" si="259">Q124-AA$107</f>
        <v>-13800.411446038303</v>
      </c>
      <c r="AB124" s="184">
        <f t="shared" ref="AB124" si="260">R124-AB$107</f>
        <v>-13676.539680828877</v>
      </c>
      <c r="AC124" s="207"/>
      <c r="AD124" s="184">
        <f t="shared" ref="AD124" si="261">O124-AD$107</f>
        <v>-3726620.6927316762</v>
      </c>
      <c r="AE124" s="184">
        <f t="shared" ref="AE124" si="262">P124-AE$107</f>
        <v>-1400485.5032637611</v>
      </c>
      <c r="AF124" s="184">
        <f t="shared" ref="AF124" si="263">Q124-AF$107</f>
        <v>-494752.93505258276</v>
      </c>
      <c r="AG124" s="184">
        <f t="shared" ref="AG124" si="264">R124-AG$107</f>
        <v>-246262.35351975478</v>
      </c>
      <c r="AI124" s="184">
        <f t="shared" si="176"/>
        <v>-2345970.2529689432</v>
      </c>
      <c r="AJ124" s="184">
        <f t="shared" si="168"/>
        <v>-541414.11852250516</v>
      </c>
      <c r="AK124" s="184">
        <f t="shared" si="169"/>
        <v>-279985.08886726876</v>
      </c>
      <c r="AL124" s="184">
        <f t="shared" si="170"/>
        <v>-215581.23263613851</v>
      </c>
    </row>
    <row r="125" spans="8:38" ht="28.8" x14ac:dyDescent="0.3">
      <c r="H125" s="169" t="s">
        <v>923</v>
      </c>
      <c r="I125" s="168" t="s">
        <v>835</v>
      </c>
      <c r="J125" s="101">
        <f>$C$91*J104</f>
        <v>14953.476215359353</v>
      </c>
      <c r="K125" s="101">
        <f t="shared" si="249"/>
        <v>493.27258471293442</v>
      </c>
      <c r="L125" s="101">
        <f t="shared" si="249"/>
        <v>53.800585581807674</v>
      </c>
      <c r="M125" s="101">
        <f t="shared" si="249"/>
        <v>8.7597293160080003</v>
      </c>
      <c r="O125" s="183">
        <f>E$93-J125</f>
        <v>28050.172891327049</v>
      </c>
      <c r="P125" s="184">
        <f t="shared" ref="P125:R127" si="265">F$93-K125</f>
        <v>702.48279579202551</v>
      </c>
      <c r="Q125" s="184">
        <f t="shared" si="265"/>
        <v>55.41883526305633</v>
      </c>
      <c r="R125" s="184">
        <f t="shared" si="265"/>
        <v>8.506347770711999</v>
      </c>
      <c r="T125" s="184">
        <f t="shared" si="179"/>
        <v>-31045.827108672951</v>
      </c>
      <c r="U125" s="184">
        <f t="shared" si="180"/>
        <v>-9478.5172042079739</v>
      </c>
      <c r="V125" s="184">
        <f t="shared" si="181"/>
        <v>-8769.5811647369428</v>
      </c>
      <c r="W125" s="184">
        <f t="shared" si="182"/>
        <v>-8739.4936522292883</v>
      </c>
      <c r="X125" s="212"/>
      <c r="Y125" s="184">
        <f t="shared" si="183"/>
        <v>-96389.827108672951</v>
      </c>
      <c r="Z125" s="184">
        <f t="shared" si="184"/>
        <v>-16134.517204207974</v>
      </c>
      <c r="AA125" s="184">
        <f t="shared" si="185"/>
        <v>-13799.581164736943</v>
      </c>
      <c r="AB125" s="184">
        <f t="shared" si="186"/>
        <v>-13676.493652229288</v>
      </c>
      <c r="AC125" s="212"/>
      <c r="AD125" s="184">
        <f t="shared" si="187"/>
        <v>-3725361.9222236588</v>
      </c>
      <c r="AE125" s="184">
        <f t="shared" si="188"/>
        <v>-1400466.5216990907</v>
      </c>
      <c r="AF125" s="184">
        <f t="shared" si="189"/>
        <v>-494752.10477128142</v>
      </c>
      <c r="AG125" s="184">
        <f t="shared" si="190"/>
        <v>-246262.3074911552</v>
      </c>
      <c r="AI125" s="184">
        <f t="shared" si="176"/>
        <v>-2344711.4824609258</v>
      </c>
      <c r="AJ125" s="184">
        <f t="shared" si="168"/>
        <v>-541395.13695783471</v>
      </c>
      <c r="AK125" s="184">
        <f t="shared" si="169"/>
        <v>-279984.25858596741</v>
      </c>
      <c r="AL125" s="184">
        <f t="shared" si="170"/>
        <v>-215581.18660753893</v>
      </c>
    </row>
    <row r="126" spans="8:38" x14ac:dyDescent="0.3">
      <c r="H126" s="169"/>
      <c r="I126" s="168" t="s">
        <v>836</v>
      </c>
      <c r="J126" s="101">
        <f>$C$91*J105</f>
        <v>14221.452750696981</v>
      </c>
      <c r="K126" s="101">
        <f t="shared" ref="K126:M127" si="266">$C$91*K105</f>
        <v>482.2340747969107</v>
      </c>
      <c r="L126" s="101">
        <f t="shared" si="266"/>
        <v>53.317745071171757</v>
      </c>
      <c r="M126" s="101">
        <f t="shared" si="266"/>
        <v>8.7329619150165918</v>
      </c>
      <c r="O126" s="183">
        <f t="shared" ref="O126:O127" si="267">E$93-J126</f>
        <v>28782.196355989421</v>
      </c>
      <c r="P126" s="184">
        <f t="shared" si="265"/>
        <v>713.52130570804923</v>
      </c>
      <c r="Q126" s="184">
        <f t="shared" si="265"/>
        <v>55.901675773692247</v>
      </c>
      <c r="R126" s="184">
        <f t="shared" si="265"/>
        <v>8.5331151717034075</v>
      </c>
      <c r="T126" s="184">
        <f t="shared" si="179"/>
        <v>-30313.803644010579</v>
      </c>
      <c r="U126" s="184">
        <f t="shared" si="180"/>
        <v>-9467.4786942919509</v>
      </c>
      <c r="V126" s="184">
        <f t="shared" si="181"/>
        <v>-8769.0983242263083</v>
      </c>
      <c r="W126" s="184">
        <f t="shared" si="182"/>
        <v>-8739.4668848282963</v>
      </c>
      <c r="X126" s="212"/>
      <c r="Y126" s="184">
        <f t="shared" si="183"/>
        <v>-95657.803644010579</v>
      </c>
      <c r="Z126" s="184">
        <f t="shared" si="184"/>
        <v>-16123.478694291951</v>
      </c>
      <c r="AA126" s="184">
        <f t="shared" si="185"/>
        <v>-13799.098324226308</v>
      </c>
      <c r="AB126" s="184">
        <f t="shared" si="186"/>
        <v>-13676.466884828296</v>
      </c>
      <c r="AC126" s="212"/>
      <c r="AD126" s="184">
        <f t="shared" si="187"/>
        <v>-3724629.8987589967</v>
      </c>
      <c r="AE126" s="184">
        <f t="shared" si="188"/>
        <v>-1400455.4831891747</v>
      </c>
      <c r="AF126" s="184">
        <f t="shared" si="189"/>
        <v>-494751.62193077081</v>
      </c>
      <c r="AG126" s="184">
        <f t="shared" si="190"/>
        <v>-246262.2807237542</v>
      </c>
      <c r="AI126" s="184">
        <f t="shared" si="176"/>
        <v>-2343979.4589962638</v>
      </c>
      <c r="AJ126" s="184">
        <f t="shared" si="168"/>
        <v>-541384.09844791866</v>
      </c>
      <c r="AK126" s="184">
        <f t="shared" si="169"/>
        <v>-279983.77574545681</v>
      </c>
      <c r="AL126" s="184">
        <f t="shared" si="170"/>
        <v>-215581.15984013793</v>
      </c>
    </row>
    <row r="127" spans="8:38" x14ac:dyDescent="0.3">
      <c r="H127" s="111"/>
      <c r="I127" s="8" t="s">
        <v>837</v>
      </c>
      <c r="J127" s="170">
        <f>$C$91*J106</f>
        <v>13982.944787977887</v>
      </c>
      <c r="K127" s="170">
        <f t="shared" si="266"/>
        <v>478.63750632797553</v>
      </c>
      <c r="L127" s="170">
        <f t="shared" si="266"/>
        <v>53.160425924902121</v>
      </c>
      <c r="M127" s="170">
        <f t="shared" si="266"/>
        <v>8.7242405575930437</v>
      </c>
      <c r="N127" s="8"/>
      <c r="O127" s="193">
        <f t="shared" si="267"/>
        <v>29020.704318708515</v>
      </c>
      <c r="P127" s="197">
        <f t="shared" si="265"/>
        <v>717.1178741769844</v>
      </c>
      <c r="Q127" s="197">
        <f t="shared" si="265"/>
        <v>56.058994919961883</v>
      </c>
      <c r="R127" s="197">
        <f t="shared" si="265"/>
        <v>8.5418365291269556</v>
      </c>
      <c r="S127" s="8"/>
      <c r="T127" s="197">
        <f t="shared" si="179"/>
        <v>-30075.295681291485</v>
      </c>
      <c r="U127" s="197">
        <f t="shared" si="180"/>
        <v>-9463.8821258230164</v>
      </c>
      <c r="V127" s="197">
        <f t="shared" si="181"/>
        <v>-8768.9410050800379</v>
      </c>
      <c r="W127" s="197">
        <f t="shared" si="182"/>
        <v>-8739.4581634708738</v>
      </c>
      <c r="X127" s="8"/>
      <c r="Y127" s="197">
        <f t="shared" si="183"/>
        <v>-95419.295681291493</v>
      </c>
      <c r="Z127" s="197">
        <f t="shared" si="184"/>
        <v>-16119.882125823016</v>
      </c>
      <c r="AA127" s="197">
        <f t="shared" si="185"/>
        <v>-13798.941005080038</v>
      </c>
      <c r="AB127" s="197">
        <f t="shared" si="186"/>
        <v>-13676.458163470874</v>
      </c>
      <c r="AC127" s="8"/>
      <c r="AD127" s="197">
        <f t="shared" si="187"/>
        <v>-3724391.3907962772</v>
      </c>
      <c r="AE127" s="197">
        <f t="shared" si="188"/>
        <v>-1400451.8866207057</v>
      </c>
      <c r="AF127" s="197">
        <f t="shared" si="189"/>
        <v>-494751.46461162454</v>
      </c>
      <c r="AG127" s="197">
        <f t="shared" si="190"/>
        <v>-246262.27200239678</v>
      </c>
      <c r="AI127" s="197">
        <f t="shared" si="176"/>
        <v>-2343740.9510335443</v>
      </c>
      <c r="AJ127" s="197">
        <f t="shared" si="168"/>
        <v>-541380.50187944982</v>
      </c>
      <c r="AK127" s="197">
        <f t="shared" si="169"/>
        <v>-279983.61842631054</v>
      </c>
      <c r="AL127" s="197">
        <f t="shared" si="170"/>
        <v>-215581.15111878052</v>
      </c>
    </row>
    <row r="128" spans="8:38" s="217" customFormat="1" x14ac:dyDescent="0.3">
      <c r="H128" s="237"/>
      <c r="I128" s="145" t="s">
        <v>1012</v>
      </c>
      <c r="J128" s="101">
        <f>$C$95*J103</f>
        <v>2210.7609168240906</v>
      </c>
      <c r="K128" s="101">
        <f t="shared" ref="K128:M129" si="268">$C$95*K103</f>
        <v>69.852838552274406</v>
      </c>
      <c r="L128" s="101">
        <f t="shared" si="268"/>
        <v>7.4496636658862414</v>
      </c>
      <c r="M128" s="101">
        <f t="shared" si="268"/>
        <v>1.2007851703086001</v>
      </c>
      <c r="N128" s="207"/>
      <c r="O128" s="184">
        <f>E$97-J128</f>
        <v>3653.3730522695105</v>
      </c>
      <c r="P128" s="184">
        <f t="shared" ref="P128" si="269">F$97-K128</f>
        <v>93.2047133347656</v>
      </c>
      <c r="Q128" s="184">
        <f t="shared" ref="Q128" si="270">G$97-L128</f>
        <v>7.4438937220497596</v>
      </c>
      <c r="R128" s="184">
        <f t="shared" ref="R128" si="271">H$97-M128</f>
        <v>1.1536798869714</v>
      </c>
      <c r="S128" s="207"/>
      <c r="T128" s="184">
        <f t="shared" ref="T128" si="272">O128-T$107</f>
        <v>-55442.626947730489</v>
      </c>
      <c r="U128" s="184">
        <f t="shared" ref="U128" si="273">P128-U$107</f>
        <v>-10087.795286665234</v>
      </c>
      <c r="V128" s="184">
        <f t="shared" ref="V128" si="274">Q128-V$107</f>
        <v>-8817.5561062779507</v>
      </c>
      <c r="W128" s="184">
        <f t="shared" ref="W128" si="275">R128-W$107</f>
        <v>-8746.8463201130289</v>
      </c>
      <c r="X128" s="207"/>
      <c r="Y128" s="184">
        <f t="shared" ref="Y128" si="276">O128-Y$107</f>
        <v>-120786.62694773049</v>
      </c>
      <c r="Z128" s="184">
        <f t="shared" ref="Z128" si="277">P128-Z$107</f>
        <v>-16743.795286665234</v>
      </c>
      <c r="AA128" s="184">
        <f t="shared" ref="AA128" si="278">Q128-AA$107</f>
        <v>-13847.556106277951</v>
      </c>
      <c r="AB128" s="184">
        <f t="shared" ref="AB128" si="279">R128-AB$107</f>
        <v>-13683.846320113029</v>
      </c>
      <c r="AC128" s="207"/>
      <c r="AD128" s="184">
        <f t="shared" ref="AD128" si="280">O128-AD$107</f>
        <v>-3749758.7220627163</v>
      </c>
      <c r="AE128" s="184">
        <f t="shared" ref="AE128" si="281">P128-AE$107</f>
        <v>-1401075.7997815479</v>
      </c>
      <c r="AF128" s="184">
        <f t="shared" ref="AF128" si="282">Q128-AF$107</f>
        <v>-494800.07971282245</v>
      </c>
      <c r="AG128" s="184">
        <f t="shared" ref="AG128" si="283">R128-AG$107</f>
        <v>-246269.66015903893</v>
      </c>
      <c r="AI128" s="184">
        <f t="shared" si="176"/>
        <v>-2369108.2822999833</v>
      </c>
      <c r="AJ128" s="184">
        <f t="shared" si="168"/>
        <v>-542004.41504029196</v>
      </c>
      <c r="AK128" s="184">
        <f t="shared" si="169"/>
        <v>-280032.23352750845</v>
      </c>
      <c r="AL128" s="184">
        <f t="shared" si="170"/>
        <v>-215588.53927542266</v>
      </c>
    </row>
    <row r="129" spans="8:38" x14ac:dyDescent="0.3">
      <c r="H129" s="169" t="s">
        <v>827</v>
      </c>
      <c r="I129" s="168" t="s">
        <v>835</v>
      </c>
      <c r="J129" s="101">
        <f>$C$95*J104</f>
        <v>2039.1103930035481</v>
      </c>
      <c r="K129" s="101">
        <f t="shared" si="268"/>
        <v>67.264443369945596</v>
      </c>
      <c r="L129" s="101">
        <f t="shared" si="268"/>
        <v>7.3364434884283201</v>
      </c>
      <c r="M129" s="101">
        <f t="shared" si="268"/>
        <v>1.1945085430919999</v>
      </c>
      <c r="O129" s="184">
        <f>E$97-J129</f>
        <v>3825.0235760900532</v>
      </c>
      <c r="P129" s="184">
        <f t="shared" ref="P129:R131" si="284">F$97-K129</f>
        <v>95.79310851709441</v>
      </c>
      <c r="Q129" s="184">
        <f t="shared" si="284"/>
        <v>7.557113899507681</v>
      </c>
      <c r="R129" s="184">
        <f t="shared" si="284"/>
        <v>1.1599565141880002</v>
      </c>
      <c r="T129" s="184">
        <f t="shared" si="179"/>
        <v>-55270.976423909946</v>
      </c>
      <c r="U129" s="184">
        <f t="shared" si="180"/>
        <v>-10085.206891482905</v>
      </c>
      <c r="V129" s="184">
        <f t="shared" si="181"/>
        <v>-8817.4428861004926</v>
      </c>
      <c r="W129" s="184">
        <f t="shared" si="182"/>
        <v>-8746.8400434858122</v>
      </c>
      <c r="X129" s="212"/>
      <c r="Y129" s="184">
        <f t="shared" si="183"/>
        <v>-120614.97642390995</v>
      </c>
      <c r="Z129" s="184">
        <f t="shared" si="184"/>
        <v>-16741.206891482907</v>
      </c>
      <c r="AA129" s="184">
        <f t="shared" si="185"/>
        <v>-13847.442886100493</v>
      </c>
      <c r="AB129" s="184">
        <f t="shared" si="186"/>
        <v>-13683.840043485812</v>
      </c>
      <c r="AC129" s="212"/>
      <c r="AD129" s="184">
        <f t="shared" si="187"/>
        <v>-3749587.0715388958</v>
      </c>
      <c r="AE129" s="184">
        <f t="shared" si="188"/>
        <v>-1401073.2113863656</v>
      </c>
      <c r="AF129" s="184">
        <f t="shared" si="189"/>
        <v>-494799.96649264498</v>
      </c>
      <c r="AG129" s="184">
        <f t="shared" si="190"/>
        <v>-246269.65388241172</v>
      </c>
      <c r="AI129" s="184">
        <f t="shared" si="176"/>
        <v>-2368936.6317761629</v>
      </c>
      <c r="AJ129" s="184">
        <f t="shared" si="168"/>
        <v>-542001.82664510969</v>
      </c>
      <c r="AK129" s="184">
        <f t="shared" si="169"/>
        <v>-280032.12030733097</v>
      </c>
      <c r="AL129" s="184">
        <f t="shared" si="170"/>
        <v>-215588.53299879545</v>
      </c>
    </row>
    <row r="130" spans="8:38" x14ac:dyDescent="0.3">
      <c r="H130" t="s">
        <v>925</v>
      </c>
      <c r="I130" s="168" t="s">
        <v>836</v>
      </c>
      <c r="J130" s="101">
        <f>$C$95*J105</f>
        <v>1939.2890114586794</v>
      </c>
      <c r="K130" s="101">
        <f t="shared" ref="K130:M131" si="285">$C$95*K105</f>
        <v>65.759192017760554</v>
      </c>
      <c r="L130" s="101">
        <f t="shared" si="285"/>
        <v>7.2706016006143308</v>
      </c>
      <c r="M130" s="101">
        <f t="shared" si="285"/>
        <v>1.1908584429568079</v>
      </c>
      <c r="O130" s="184">
        <f t="shared" ref="O130:O131" si="286">E$97-J130</f>
        <v>3924.8449576349217</v>
      </c>
      <c r="P130" s="184">
        <f t="shared" si="284"/>
        <v>97.298359869279452</v>
      </c>
      <c r="Q130" s="184">
        <f t="shared" si="284"/>
        <v>7.6229557873216702</v>
      </c>
      <c r="R130" s="184">
        <f t="shared" si="284"/>
        <v>1.1636066143231922</v>
      </c>
      <c r="T130" s="184">
        <f t="shared" si="179"/>
        <v>-55171.155042365077</v>
      </c>
      <c r="U130" s="184">
        <f t="shared" si="180"/>
        <v>-10083.701640130721</v>
      </c>
      <c r="V130" s="184">
        <f t="shared" si="181"/>
        <v>-8817.3770442126788</v>
      </c>
      <c r="W130" s="184">
        <f t="shared" si="182"/>
        <v>-8746.8363933856763</v>
      </c>
      <c r="X130" s="212"/>
      <c r="Y130" s="184">
        <f t="shared" si="183"/>
        <v>-120515.15504236508</v>
      </c>
      <c r="Z130" s="184">
        <f t="shared" si="184"/>
        <v>-16739.701640130719</v>
      </c>
      <c r="AA130" s="184">
        <f t="shared" si="185"/>
        <v>-13847.377044212679</v>
      </c>
      <c r="AB130" s="184">
        <f t="shared" si="186"/>
        <v>-13683.836393385676</v>
      </c>
      <c r="AC130" s="212"/>
      <c r="AD130" s="184">
        <f t="shared" si="187"/>
        <v>-3749487.2501573511</v>
      </c>
      <c r="AE130" s="184">
        <f t="shared" si="188"/>
        <v>-1401071.7061350134</v>
      </c>
      <c r="AF130" s="184">
        <f t="shared" si="189"/>
        <v>-494799.90065075713</v>
      </c>
      <c r="AG130" s="184">
        <f t="shared" si="190"/>
        <v>-246269.6502323116</v>
      </c>
      <c r="AI130" s="184">
        <f t="shared" si="176"/>
        <v>-2368836.8103946182</v>
      </c>
      <c r="AJ130" s="184">
        <f t="shared" si="168"/>
        <v>-542000.32139375748</v>
      </c>
      <c r="AK130" s="184">
        <f t="shared" si="169"/>
        <v>-280032.05446544313</v>
      </c>
      <c r="AL130" s="184">
        <f t="shared" si="170"/>
        <v>-215588.52934869533</v>
      </c>
    </row>
    <row r="131" spans="8:38" x14ac:dyDescent="0.3">
      <c r="H131" s="8"/>
      <c r="I131" s="8" t="s">
        <v>837</v>
      </c>
      <c r="J131" s="170">
        <f>$C$95*J106</f>
        <v>1906.7651983606211</v>
      </c>
      <c r="K131" s="170">
        <f t="shared" si="285"/>
        <v>65.268750862905762</v>
      </c>
      <c r="L131" s="170">
        <f t="shared" si="285"/>
        <v>7.249148989759381</v>
      </c>
      <c r="M131" s="170">
        <f t="shared" si="285"/>
        <v>1.1896691669445059</v>
      </c>
      <c r="N131" s="8"/>
      <c r="O131" s="197">
        <f t="shared" si="286"/>
        <v>3957.36877073298</v>
      </c>
      <c r="P131" s="197">
        <f t="shared" si="284"/>
        <v>97.788801024134244</v>
      </c>
      <c r="Q131" s="197">
        <f t="shared" si="284"/>
        <v>7.64440839817662</v>
      </c>
      <c r="R131" s="197">
        <f t="shared" si="284"/>
        <v>1.1647958903354942</v>
      </c>
      <c r="S131" s="8"/>
      <c r="T131" s="197">
        <f t="shared" si="179"/>
        <v>-55138.631229267019</v>
      </c>
      <c r="U131" s="197">
        <f t="shared" si="180"/>
        <v>-10083.211198975865</v>
      </c>
      <c r="V131" s="197">
        <f t="shared" si="181"/>
        <v>-8817.3555916018231</v>
      </c>
      <c r="W131" s="197">
        <f t="shared" si="182"/>
        <v>-8746.8352041096641</v>
      </c>
      <c r="X131" s="8"/>
      <c r="Y131" s="197">
        <f t="shared" si="183"/>
        <v>-120482.63122926702</v>
      </c>
      <c r="Z131" s="197">
        <f t="shared" si="184"/>
        <v>-16739.211198975867</v>
      </c>
      <c r="AA131" s="197">
        <f t="shared" si="185"/>
        <v>-13847.355591601823</v>
      </c>
      <c r="AB131" s="197">
        <f t="shared" si="186"/>
        <v>-13683.835204109664</v>
      </c>
      <c r="AC131" s="8"/>
      <c r="AD131" s="197">
        <f t="shared" si="187"/>
        <v>-3749454.7263442529</v>
      </c>
      <c r="AE131" s="197">
        <f t="shared" si="188"/>
        <v>-1401071.2156938585</v>
      </c>
      <c r="AF131" s="197">
        <f t="shared" si="189"/>
        <v>-494799.87919814629</v>
      </c>
      <c r="AG131" s="197">
        <f t="shared" si="190"/>
        <v>-246269.64904303558</v>
      </c>
      <c r="AI131" s="197">
        <f t="shared" si="176"/>
        <v>-2368804.28658152</v>
      </c>
      <c r="AJ131" s="197">
        <f t="shared" si="168"/>
        <v>-541999.83095260267</v>
      </c>
      <c r="AK131" s="197">
        <f t="shared" si="169"/>
        <v>-280032.03301283228</v>
      </c>
      <c r="AL131" s="197">
        <f t="shared" si="170"/>
        <v>-215588.52815941931</v>
      </c>
    </row>
    <row r="133" spans="8:38" x14ac:dyDescent="0.3">
      <c r="M133" s="1" t="s">
        <v>845</v>
      </c>
      <c r="N133" s="1" t="s">
        <v>1015</v>
      </c>
      <c r="O133" s="1">
        <v>0.78619817691221694</v>
      </c>
      <c r="P133" s="1">
        <v>0.23506502494218201</v>
      </c>
      <c r="Q133" s="1">
        <v>0.14492674278840931</v>
      </c>
      <c r="R133" s="1">
        <v>5.2566399727746474E-2</v>
      </c>
    </row>
    <row r="134" spans="8:38" x14ac:dyDescent="0.3">
      <c r="N134" s="1" t="s">
        <v>807</v>
      </c>
      <c r="O134" s="1">
        <v>0.79047445796680971</v>
      </c>
      <c r="P134" s="1">
        <v>0.24247803637095025</v>
      </c>
      <c r="Q134" s="1">
        <v>0.15260056831786123</v>
      </c>
      <c r="R134" s="1">
        <v>5.6122121744857957E-2</v>
      </c>
    </row>
    <row r="135" spans="8:38" x14ac:dyDescent="0.3">
      <c r="N135" s="1" t="s">
        <v>808</v>
      </c>
      <c r="O135" s="1">
        <v>0.79278927249674858</v>
      </c>
      <c r="P135" s="1">
        <v>0.24660761242014911</v>
      </c>
      <c r="Q135" s="1">
        <v>0.15695836663904583</v>
      </c>
      <c r="R135" s="1">
        <v>5.8172270548636794E-2</v>
      </c>
    </row>
    <row r="136" spans="8:38" x14ac:dyDescent="0.3">
      <c r="N136" s="1" t="s">
        <v>809</v>
      </c>
      <c r="O136" s="1">
        <v>0.7935182626702153</v>
      </c>
      <c r="P136" s="1">
        <v>0.2479256521271424</v>
      </c>
      <c r="Q136" s="1">
        <v>0.15836201103009293</v>
      </c>
      <c r="R136" s="1">
        <v>5.8837474994337939E-2</v>
      </c>
    </row>
    <row r="137" spans="8:38" x14ac:dyDescent="0.3">
      <c r="M137" s="1" t="s">
        <v>1016</v>
      </c>
      <c r="N137" s="1" t="s">
        <v>1015</v>
      </c>
      <c r="O137" s="1">
        <v>2.5990965783254254E-2</v>
      </c>
      <c r="P137" s="1">
        <v>4.281806066680325E-2</v>
      </c>
      <c r="Q137" s="1">
        <v>2.4053030300477882E-2</v>
      </c>
      <c r="R137" s="1">
        <v>1.4124662360005213E-2</v>
      </c>
    </row>
    <row r="138" spans="8:38" x14ac:dyDescent="0.3">
      <c r="N138" s="1" t="s">
        <v>807</v>
      </c>
      <c r="O138" s="1">
        <v>2.6378200307235068E-2</v>
      </c>
      <c r="P138" s="1">
        <v>4.4646130939960053E-2</v>
      </c>
      <c r="Q138" s="1">
        <v>2.5319960257905522E-2</v>
      </c>
      <c r="R138" s="1">
        <v>1.5021023001191621E-2</v>
      </c>
    </row>
    <row r="139" spans="8:38" x14ac:dyDescent="0.3">
      <c r="N139" s="1" t="s">
        <v>808</v>
      </c>
      <c r="O139" s="1">
        <v>2.6587816113857982E-2</v>
      </c>
      <c r="P139" s="1">
        <v>4.5664496456973049E-2</v>
      </c>
      <c r="Q139" s="1">
        <v>2.6039422176911527E-2</v>
      </c>
      <c r="R139" s="1">
        <v>1.5537844250839138E-2</v>
      </c>
    </row>
    <row r="140" spans="8:38" x14ac:dyDescent="0.3">
      <c r="N140" s="1" t="s">
        <v>809</v>
      </c>
      <c r="O140" s="1">
        <v>2.6653829118897934E-2</v>
      </c>
      <c r="P140" s="1">
        <v>4.5989528898963364E-2</v>
      </c>
      <c r="Q140" s="1">
        <v>2.6271160456830412E-2</v>
      </c>
      <c r="R140" s="1">
        <v>1.5705535392216138E-2</v>
      </c>
    </row>
    <row r="141" spans="8:38" x14ac:dyDescent="0.3">
      <c r="M141" s="1" t="s">
        <v>847</v>
      </c>
      <c r="N141" s="1" t="s">
        <v>1015</v>
      </c>
      <c r="O141" s="1">
        <v>0.18781085730452884</v>
      </c>
      <c r="P141" s="1">
        <v>0.72211691439101466</v>
      </c>
      <c r="Q141" s="1">
        <v>0.83102022691111288</v>
      </c>
      <c r="R141" s="1">
        <v>0.93330893791224823</v>
      </c>
    </row>
    <row r="142" spans="8:38" x14ac:dyDescent="0.3">
      <c r="N142" s="1" t="s">
        <v>807</v>
      </c>
      <c r="O142" s="1">
        <v>0.1831473417259552</v>
      </c>
      <c r="P142" s="1">
        <v>0.71287583268908972</v>
      </c>
      <c r="Q142" s="1">
        <v>0.82207947142423321</v>
      </c>
      <c r="R142" s="1">
        <v>0.92885685525395045</v>
      </c>
    </row>
    <row r="143" spans="8:38" x14ac:dyDescent="0.3">
      <c r="N143" s="1" t="s">
        <v>808</v>
      </c>
      <c r="O143" s="1">
        <v>0.18062291138939346</v>
      </c>
      <c r="P143" s="1">
        <v>0.70772789112287793</v>
      </c>
      <c r="Q143" s="1">
        <v>0.8170022111840427</v>
      </c>
      <c r="R143" s="1">
        <v>0.92628988520052413</v>
      </c>
    </row>
    <row r="144" spans="8:38" x14ac:dyDescent="0.3">
      <c r="N144" s="1" t="s">
        <v>809</v>
      </c>
      <c r="O144" s="1">
        <v>0.17982790821088673</v>
      </c>
      <c r="P144" s="1">
        <v>0.7060848189738943</v>
      </c>
      <c r="Q144" s="1">
        <v>0.81536682851307674</v>
      </c>
      <c r="R144" s="1">
        <v>0.92545698961344591</v>
      </c>
    </row>
    <row r="146" spans="13:33" x14ac:dyDescent="0.3">
      <c r="N146" s="1" t="s">
        <v>857</v>
      </c>
      <c r="T146" t="s">
        <v>969</v>
      </c>
      <c r="Y146" t="s">
        <v>968</v>
      </c>
      <c r="AD146" s="213" t="s">
        <v>971</v>
      </c>
    </row>
    <row r="147" spans="13:33" x14ac:dyDescent="0.3">
      <c r="M147" s="176" t="s">
        <v>823</v>
      </c>
      <c r="O147" s="188" t="s">
        <v>828</v>
      </c>
      <c r="P147" s="188" t="s">
        <v>829</v>
      </c>
      <c r="Q147" s="188" t="s">
        <v>830</v>
      </c>
      <c r="R147" s="188" t="s">
        <v>831</v>
      </c>
      <c r="T147" s="170">
        <v>59096</v>
      </c>
      <c r="U147" s="170">
        <v>10181</v>
      </c>
      <c r="V147" s="170">
        <v>8825</v>
      </c>
      <c r="W147" s="170">
        <v>8748</v>
      </c>
      <c r="X147" s="8"/>
      <c r="Y147" s="170">
        <v>124440</v>
      </c>
      <c r="Z147" s="170">
        <v>16837</v>
      </c>
      <c r="AA147" s="170">
        <v>13855</v>
      </c>
      <c r="AB147" s="170">
        <v>13685</v>
      </c>
      <c r="AC147" s="8"/>
      <c r="AD147" s="170">
        <f>Y147*15</f>
        <v>1866600</v>
      </c>
      <c r="AE147" s="170">
        <f>Z147*15</f>
        <v>252555</v>
      </c>
      <c r="AF147" s="170">
        <f>AA147*15</f>
        <v>207825</v>
      </c>
      <c r="AG147" s="170">
        <f>AB147*15</f>
        <v>205275</v>
      </c>
    </row>
    <row r="148" spans="13:33" s="217" customFormat="1" x14ac:dyDescent="0.3">
      <c r="M148" s="225"/>
      <c r="O148" s="182">
        <f>O108*O133</f>
        <v>957425077.75817013</v>
      </c>
      <c r="P148" s="182">
        <f t="shared" ref="P148:R148" si="287">P108*P133</f>
        <v>7303056.0882552005</v>
      </c>
      <c r="Q148" s="195">
        <f t="shared" si="287"/>
        <v>359606.42359992012</v>
      </c>
      <c r="R148" s="195">
        <f t="shared" si="287"/>
        <v>20214.932698799996</v>
      </c>
      <c r="T148" s="182">
        <f>O148-T$147</f>
        <v>957365981.75817013</v>
      </c>
      <c r="U148" s="182">
        <f t="shared" ref="U148" si="288">P148-U$147</f>
        <v>7292875.0882552005</v>
      </c>
      <c r="V148" s="195">
        <f t="shared" ref="V148" si="289">Q148-V$147</f>
        <v>350781.42359992012</v>
      </c>
      <c r="W148" s="183">
        <f t="shared" ref="W148" si="290">R148-W$147</f>
        <v>11466.932698799996</v>
      </c>
      <c r="Y148" s="182">
        <f>O148-Y$147</f>
        <v>957300637.75817013</v>
      </c>
      <c r="Z148" s="182">
        <f t="shared" ref="Z148" si="291">P148-Z$147</f>
        <v>7286219.0882552005</v>
      </c>
      <c r="AA148" s="195">
        <f t="shared" ref="AA148" si="292">Q148-AA$147</f>
        <v>345751.42359992012</v>
      </c>
      <c r="AB148" s="184">
        <f t="shared" ref="AB148" si="293">R148-AB$147</f>
        <v>6529.9326987999957</v>
      </c>
      <c r="AC148" s="207"/>
      <c r="AD148" s="182">
        <f>O148-AD$147</f>
        <v>955558477.75817013</v>
      </c>
      <c r="AE148" s="182">
        <f t="shared" ref="AE148" si="294">P148-AE$147</f>
        <v>7050501.0882552005</v>
      </c>
      <c r="AF148" s="195">
        <f t="shared" ref="AF148" si="295">Q148-AF$147</f>
        <v>151781.42359992012</v>
      </c>
      <c r="AG148" s="184">
        <f t="shared" ref="AG148" si="296">R148-AG$147</f>
        <v>-185060.0673012</v>
      </c>
    </row>
    <row r="149" spans="13:33" x14ac:dyDescent="0.3">
      <c r="M149" s="169" t="s">
        <v>826</v>
      </c>
      <c r="O149" s="182">
        <f t="shared" ref="O149:R151" si="297">O109*O134</f>
        <v>1007861146.0066841</v>
      </c>
      <c r="P149" s="182">
        <f t="shared" si="297"/>
        <v>7742574.9503648002</v>
      </c>
      <c r="Q149" s="195">
        <f t="shared" si="297"/>
        <v>384406.62530256016</v>
      </c>
      <c r="R149" s="195">
        <f t="shared" si="297"/>
        <v>21699.740235999998</v>
      </c>
      <c r="T149" s="182">
        <f>O149-T$147</f>
        <v>1007802050.0066841</v>
      </c>
      <c r="U149" s="182">
        <f t="shared" ref="U149:W169" si="298">P149-U$147</f>
        <v>7732393.9503648002</v>
      </c>
      <c r="V149" s="195">
        <f t="shared" si="298"/>
        <v>375581.62530256016</v>
      </c>
      <c r="W149" s="183">
        <f t="shared" si="298"/>
        <v>12951.740235999998</v>
      </c>
      <c r="Y149" s="182">
        <f>O149-Y$147</f>
        <v>1007736706.0066841</v>
      </c>
      <c r="Z149" s="182">
        <f t="shared" ref="Z149:AB149" si="299">P149-Z$147</f>
        <v>7725737.9503648002</v>
      </c>
      <c r="AA149" s="195">
        <f t="shared" si="299"/>
        <v>370551.62530256016</v>
      </c>
      <c r="AB149" s="184">
        <f t="shared" si="299"/>
        <v>8014.7402359999978</v>
      </c>
      <c r="AD149" s="182">
        <f>O149-AD$147</f>
        <v>1005994546.0066841</v>
      </c>
      <c r="AE149" s="182">
        <f t="shared" ref="AE149:AG149" si="300">P149-AE$147</f>
        <v>7490019.9503648002</v>
      </c>
      <c r="AF149" s="195">
        <f t="shared" si="300"/>
        <v>176581.62530256016</v>
      </c>
      <c r="AG149" s="184">
        <f t="shared" si="300"/>
        <v>-183575.25976400002</v>
      </c>
    </row>
    <row r="150" spans="13:33" x14ac:dyDescent="0.3">
      <c r="M150" s="169" t="s">
        <v>924</v>
      </c>
      <c r="O150" s="182">
        <f t="shared" si="297"/>
        <v>1037191659.5419738</v>
      </c>
      <c r="P150" s="182">
        <f t="shared" si="297"/>
        <v>7998172.0732531529</v>
      </c>
      <c r="Q150" s="195">
        <f t="shared" si="297"/>
        <v>398828.89644655696</v>
      </c>
      <c r="R150" s="195">
        <f t="shared" si="297"/>
        <v>22563.212926864002</v>
      </c>
      <c r="T150" s="182">
        <f t="shared" ref="T150:T171" si="301">O150-T$147</f>
        <v>1037132563.5419738</v>
      </c>
      <c r="U150" s="182">
        <f t="shared" si="298"/>
        <v>7987991.0732531529</v>
      </c>
      <c r="V150" s="195">
        <f t="shared" si="298"/>
        <v>390003.89644655696</v>
      </c>
      <c r="W150" s="183">
        <f t="shared" si="298"/>
        <v>13815.212926864002</v>
      </c>
      <c r="Y150" s="182">
        <f t="shared" ref="Y150:Y171" si="302">O150-Y$147</f>
        <v>1037067219.5419738</v>
      </c>
      <c r="Z150" s="182">
        <f t="shared" ref="Z150:Z171" si="303">P150-Z$147</f>
        <v>7981335.0732531529</v>
      </c>
      <c r="AA150" s="195">
        <f t="shared" ref="AA150:AA171" si="304">Q150-AA$147</f>
        <v>384973.89644655696</v>
      </c>
      <c r="AB150" s="184">
        <f t="shared" ref="AB150:AB171" si="305">R150-AB$147</f>
        <v>8878.2129268640019</v>
      </c>
      <c r="AD150" s="182">
        <f t="shared" ref="AD150:AD171" si="306">O150-AD$147</f>
        <v>1035325059.5419738</v>
      </c>
      <c r="AE150" s="182">
        <f t="shared" ref="AE150:AE171" si="307">P150-AE$147</f>
        <v>7745617.0732531529</v>
      </c>
      <c r="AF150" s="195">
        <f t="shared" ref="AF150:AF171" si="308">Q150-AF$147</f>
        <v>191003.89644655696</v>
      </c>
      <c r="AG150" s="184">
        <f t="shared" ref="AG150:AG171" si="309">R150-AG$147</f>
        <v>-182711.78707313599</v>
      </c>
    </row>
    <row r="151" spans="13:33" x14ac:dyDescent="0.3">
      <c r="M151" s="111"/>
      <c r="N151" s="8"/>
      <c r="O151" s="194">
        <f t="shared" si="297"/>
        <v>1046748130.5657998</v>
      </c>
      <c r="P151" s="194">
        <f t="shared" si="297"/>
        <v>8081450.7548799515</v>
      </c>
      <c r="Q151" s="196">
        <f t="shared" si="297"/>
        <v>403527.96235686028</v>
      </c>
      <c r="R151" s="196">
        <f t="shared" si="297"/>
        <v>22844.549690374079</v>
      </c>
      <c r="T151" s="194">
        <f t="shared" si="301"/>
        <v>1046689034.5657998</v>
      </c>
      <c r="U151" s="194">
        <f t="shared" si="298"/>
        <v>8071269.7548799515</v>
      </c>
      <c r="V151" s="196">
        <f t="shared" si="298"/>
        <v>394702.96235686028</v>
      </c>
      <c r="W151" s="193">
        <f t="shared" si="298"/>
        <v>14096.549690374079</v>
      </c>
      <c r="Y151" s="194">
        <f t="shared" si="302"/>
        <v>1046623690.5657998</v>
      </c>
      <c r="Z151" s="194">
        <f t="shared" si="303"/>
        <v>8064613.7548799515</v>
      </c>
      <c r="AA151" s="196">
        <f t="shared" si="304"/>
        <v>389672.96235686028</v>
      </c>
      <c r="AB151" s="197">
        <f t="shared" si="305"/>
        <v>9159.5496903740786</v>
      </c>
      <c r="AC151" s="8"/>
      <c r="AD151" s="194">
        <f t="shared" si="306"/>
        <v>1044881530.5657998</v>
      </c>
      <c r="AE151" s="194">
        <f t="shared" si="307"/>
        <v>7828895.7548799515</v>
      </c>
      <c r="AF151" s="196">
        <f t="shared" si="308"/>
        <v>195702.96235686028</v>
      </c>
      <c r="AG151" s="197">
        <f t="shared" si="309"/>
        <v>-182430.45030962591</v>
      </c>
    </row>
    <row r="152" spans="13:33" s="217" customFormat="1" x14ac:dyDescent="0.3">
      <c r="M152" s="237"/>
      <c r="N152" s="207"/>
      <c r="O152" s="182">
        <f>O112*O133</f>
        <v>9327235.1075200941</v>
      </c>
      <c r="P152" s="183">
        <f t="shared" ref="P152:R152" si="310">P112*P133</f>
        <v>71146.372411782169</v>
      </c>
      <c r="Q152" s="184">
        <f t="shared" si="310"/>
        <v>3503.2857787104222</v>
      </c>
      <c r="R152" s="184">
        <f t="shared" si="310"/>
        <v>196.93387435170956</v>
      </c>
      <c r="T152" s="182">
        <f t="shared" ref="T152" si="311">O152-T$147</f>
        <v>9268139.1075200941</v>
      </c>
      <c r="U152" s="183">
        <f t="shared" ref="U152" si="312">P152-U$147</f>
        <v>60965.372411782169</v>
      </c>
      <c r="V152" s="184">
        <f t="shared" ref="V152" si="313">Q152-V$147</f>
        <v>-5321.7142212895778</v>
      </c>
      <c r="W152" s="184">
        <f t="shared" ref="W152" si="314">R152-W$147</f>
        <v>-8551.0661256482908</v>
      </c>
      <c r="Y152" s="182">
        <f t="shared" ref="Y152" si="315">O152-Y$147</f>
        <v>9202795.1075200941</v>
      </c>
      <c r="Z152" s="183">
        <f t="shared" ref="Z152" si="316">P152-Z$147</f>
        <v>54309.372411782169</v>
      </c>
      <c r="AA152" s="184">
        <f t="shared" ref="AA152" si="317">Q152-AA$147</f>
        <v>-10351.714221289578</v>
      </c>
      <c r="AB152" s="184">
        <f t="shared" ref="AB152" si="318">R152-AB$147</f>
        <v>-13488.066125648291</v>
      </c>
      <c r="AC152" s="207"/>
      <c r="AD152" s="182">
        <f t="shared" ref="AD152" si="319">O152-AD$147</f>
        <v>7460635.1075200941</v>
      </c>
      <c r="AE152" s="184">
        <f t="shared" ref="AE152" si="320">P152-AE$147</f>
        <v>-181408.62758821785</v>
      </c>
      <c r="AF152" s="184">
        <f t="shared" ref="AF152" si="321">Q152-AF$147</f>
        <v>-204321.71422128959</v>
      </c>
      <c r="AG152" s="184">
        <f t="shared" ref="AG152" si="322">R152-AG$147</f>
        <v>-205078.0661256483</v>
      </c>
    </row>
    <row r="153" spans="13:33" ht="28.8" x14ac:dyDescent="0.3">
      <c r="M153" s="169" t="s">
        <v>920</v>
      </c>
      <c r="O153" s="182">
        <f t="shared" ref="O153:R155" si="323">O113*O134</f>
        <v>9818583.2843971178</v>
      </c>
      <c r="P153" s="183">
        <f t="shared" si="323"/>
        <v>75428.165166453895</v>
      </c>
      <c r="Q153" s="184">
        <f t="shared" si="323"/>
        <v>3744.8893436975422</v>
      </c>
      <c r="R153" s="184">
        <f t="shared" si="323"/>
        <v>211.398869379112</v>
      </c>
      <c r="T153" s="182">
        <f t="shared" si="301"/>
        <v>9759487.2843971178</v>
      </c>
      <c r="U153" s="183">
        <f t="shared" si="298"/>
        <v>65247.165166453895</v>
      </c>
      <c r="V153" s="184">
        <f t="shared" si="298"/>
        <v>-5080.1106563024578</v>
      </c>
      <c r="W153" s="184">
        <f t="shared" si="298"/>
        <v>-8536.6011306208875</v>
      </c>
      <c r="Y153" s="182">
        <f t="shared" si="302"/>
        <v>9694143.2843971178</v>
      </c>
      <c r="Z153" s="183">
        <f t="shared" si="303"/>
        <v>58591.165166453895</v>
      </c>
      <c r="AA153" s="184">
        <f t="shared" si="304"/>
        <v>-10110.110656302459</v>
      </c>
      <c r="AB153" s="184">
        <f t="shared" si="305"/>
        <v>-13473.601130620887</v>
      </c>
      <c r="AD153" s="182">
        <f t="shared" si="306"/>
        <v>7951983.2843971178</v>
      </c>
      <c r="AE153" s="184">
        <f t="shared" si="307"/>
        <v>-177126.83483354611</v>
      </c>
      <c r="AF153" s="184">
        <f t="shared" si="308"/>
        <v>-204080.11065630245</v>
      </c>
      <c r="AG153" s="184">
        <f t="shared" si="309"/>
        <v>-205063.6011306209</v>
      </c>
    </row>
    <row r="154" spans="13:33" x14ac:dyDescent="0.3">
      <c r="M154" s="169"/>
      <c r="O154" s="182">
        <f t="shared" si="323"/>
        <v>10104321.147257911</v>
      </c>
      <c r="P154" s="183">
        <f t="shared" si="323"/>
        <v>77918.192337632208</v>
      </c>
      <c r="Q154" s="184">
        <f t="shared" si="323"/>
        <v>3885.3911091823588</v>
      </c>
      <c r="R154" s="184">
        <f t="shared" si="323"/>
        <v>219.81082033350913</v>
      </c>
      <c r="T154" s="182">
        <f t="shared" si="301"/>
        <v>10045225.147257911</v>
      </c>
      <c r="U154" s="183">
        <f t="shared" si="298"/>
        <v>67737.192337632208</v>
      </c>
      <c r="V154" s="184">
        <f t="shared" si="298"/>
        <v>-4939.6088908176407</v>
      </c>
      <c r="W154" s="184">
        <f t="shared" si="298"/>
        <v>-8528.1891796664913</v>
      </c>
      <c r="Y154" s="182">
        <f t="shared" si="302"/>
        <v>9979881.147257911</v>
      </c>
      <c r="Z154" s="183">
        <f t="shared" si="303"/>
        <v>61081.192337632208</v>
      </c>
      <c r="AA154" s="184">
        <f t="shared" si="304"/>
        <v>-9969.6088908176407</v>
      </c>
      <c r="AB154" s="184">
        <f t="shared" si="305"/>
        <v>-13465.189179666491</v>
      </c>
      <c r="AD154" s="182">
        <f t="shared" si="306"/>
        <v>8237721.147257911</v>
      </c>
      <c r="AE154" s="184">
        <f t="shared" si="307"/>
        <v>-174636.80766236779</v>
      </c>
      <c r="AF154" s="184">
        <f t="shared" si="308"/>
        <v>-203939.60889081765</v>
      </c>
      <c r="AG154" s="184">
        <f t="shared" si="309"/>
        <v>-205055.18917966649</v>
      </c>
    </row>
    <row r="155" spans="13:33" x14ac:dyDescent="0.3">
      <c r="M155" s="111"/>
      <c r="N155" s="8"/>
      <c r="O155" s="194">
        <f t="shared" si="323"/>
        <v>10197420.287972024</v>
      </c>
      <c r="P155" s="193">
        <f t="shared" si="323"/>
        <v>78729.493254040484</v>
      </c>
      <c r="Q155" s="197">
        <f t="shared" si="323"/>
        <v>3931.1694092805337</v>
      </c>
      <c r="R155" s="197">
        <f t="shared" si="323"/>
        <v>222.55160308362429</v>
      </c>
      <c r="T155" s="194">
        <f t="shared" si="301"/>
        <v>10138324.287972024</v>
      </c>
      <c r="U155" s="193">
        <f t="shared" si="298"/>
        <v>68548.493254040484</v>
      </c>
      <c r="V155" s="197">
        <f t="shared" si="298"/>
        <v>-4893.8305907194663</v>
      </c>
      <c r="W155" s="197">
        <f t="shared" si="298"/>
        <v>-8525.4483969163757</v>
      </c>
      <c r="Y155" s="194">
        <f t="shared" si="302"/>
        <v>10072980.287972024</v>
      </c>
      <c r="Z155" s="193">
        <f t="shared" si="303"/>
        <v>61892.493254040484</v>
      </c>
      <c r="AA155" s="197">
        <f t="shared" si="304"/>
        <v>-9923.8305907194663</v>
      </c>
      <c r="AB155" s="197">
        <f t="shared" si="305"/>
        <v>-13462.448396916376</v>
      </c>
      <c r="AC155" s="8"/>
      <c r="AD155" s="194">
        <f t="shared" si="306"/>
        <v>8330820.2879720237</v>
      </c>
      <c r="AE155" s="197">
        <f t="shared" si="307"/>
        <v>-173825.50674595952</v>
      </c>
      <c r="AF155" s="197">
        <f t="shared" si="308"/>
        <v>-203893.83059071947</v>
      </c>
      <c r="AG155" s="197">
        <f t="shared" si="309"/>
        <v>-205052.44839691638</v>
      </c>
    </row>
    <row r="156" spans="13:33" s="217" customFormat="1" x14ac:dyDescent="0.3">
      <c r="M156" s="237"/>
      <c r="N156" s="207"/>
      <c r="O156" s="182">
        <f>O116*O133</f>
        <v>2262395.4587425562</v>
      </c>
      <c r="P156" s="183">
        <f t="shared" ref="P156:R156" si="324">P116*P133</f>
        <v>17257.121536547038</v>
      </c>
      <c r="Q156" s="184">
        <f t="shared" si="324"/>
        <v>849.74997896661114</v>
      </c>
      <c r="R156" s="184">
        <f t="shared" si="324"/>
        <v>47.767885967264398</v>
      </c>
      <c r="T156" s="182">
        <f t="shared" ref="T156" si="325">O156-T$147</f>
        <v>2203299.4587425562</v>
      </c>
      <c r="U156" s="184">
        <f t="shared" ref="U156" si="326">P156-U$147</f>
        <v>7076.121536547038</v>
      </c>
      <c r="V156" s="184">
        <f t="shared" ref="V156" si="327">Q156-V$147</f>
        <v>-7975.2500210333892</v>
      </c>
      <c r="W156" s="184">
        <f t="shared" ref="W156" si="328">R156-W$147</f>
        <v>-8700.2321140327349</v>
      </c>
      <c r="Y156" s="182">
        <f t="shared" ref="Y156" si="329">O156-Y$147</f>
        <v>2137955.4587425562</v>
      </c>
      <c r="Z156" s="184">
        <f t="shared" ref="Z156" si="330">P156-Z$147</f>
        <v>420.12153654703798</v>
      </c>
      <c r="AA156" s="184">
        <f t="shared" ref="AA156" si="331">Q156-AA$147</f>
        <v>-13005.250021033389</v>
      </c>
      <c r="AB156" s="184">
        <f t="shared" ref="AB156" si="332">R156-AB$147</f>
        <v>-13637.232114032735</v>
      </c>
      <c r="AC156" s="207"/>
      <c r="AD156" s="195">
        <f t="shared" ref="AD156" si="333">O156-AD$147</f>
        <v>395795.45874255616</v>
      </c>
      <c r="AE156" s="184">
        <f t="shared" ref="AE156" si="334">P156-AE$147</f>
        <v>-235297.87846345297</v>
      </c>
      <c r="AF156" s="184">
        <f t="shared" ref="AF156" si="335">Q156-AF$147</f>
        <v>-206975.2500210334</v>
      </c>
      <c r="AG156" s="184">
        <f t="shared" ref="AG156" si="336">R156-AG$147</f>
        <v>-205227.23211403273</v>
      </c>
    </row>
    <row r="157" spans="13:33" ht="28.8" x14ac:dyDescent="0.3">
      <c r="M157" s="169" t="s">
        <v>921</v>
      </c>
      <c r="O157" s="182">
        <f t="shared" ref="O157:R159" si="337">O117*O134</f>
        <v>2381575.8880137946</v>
      </c>
      <c r="P157" s="183">
        <f t="shared" si="337"/>
        <v>18295.704607712025</v>
      </c>
      <c r="Q157" s="184">
        <f t="shared" si="337"/>
        <v>908.35285558994963</v>
      </c>
      <c r="R157" s="184">
        <f t="shared" si="337"/>
        <v>51.276486177667998</v>
      </c>
      <c r="T157" s="182">
        <f t="shared" si="301"/>
        <v>2322479.8880137946</v>
      </c>
      <c r="U157" s="184">
        <f t="shared" si="298"/>
        <v>8114.7046077120249</v>
      </c>
      <c r="V157" s="184">
        <f t="shared" si="298"/>
        <v>-7916.6471444100507</v>
      </c>
      <c r="W157" s="184">
        <f t="shared" si="298"/>
        <v>-8696.7235138223314</v>
      </c>
      <c r="Y157" s="182">
        <f t="shared" si="302"/>
        <v>2257135.8880137946</v>
      </c>
      <c r="Z157" s="184">
        <f t="shared" si="303"/>
        <v>1458.7046077120249</v>
      </c>
      <c r="AA157" s="184">
        <f t="shared" si="304"/>
        <v>-12946.64714441005</v>
      </c>
      <c r="AB157" s="184">
        <f t="shared" si="305"/>
        <v>-13633.723513822331</v>
      </c>
      <c r="AD157" s="195">
        <f t="shared" si="306"/>
        <v>514975.88801379455</v>
      </c>
      <c r="AE157" s="184">
        <f t="shared" si="307"/>
        <v>-234259.29539228798</v>
      </c>
      <c r="AF157" s="184">
        <f t="shared" si="308"/>
        <v>-206916.64714441006</v>
      </c>
      <c r="AG157" s="184">
        <f t="shared" si="309"/>
        <v>-205223.72351382233</v>
      </c>
    </row>
    <row r="158" spans="13:33" x14ac:dyDescent="0.3">
      <c r="M158" s="169"/>
      <c r="O158" s="182">
        <f t="shared" si="337"/>
        <v>2450883.8914976842</v>
      </c>
      <c r="P158" s="183">
        <f t="shared" si="337"/>
        <v>18899.680609097199</v>
      </c>
      <c r="Q158" s="184">
        <f t="shared" si="337"/>
        <v>942.43268230321416</v>
      </c>
      <c r="R158" s="184">
        <f t="shared" si="337"/>
        <v>53.316872146179634</v>
      </c>
      <c r="T158" s="182">
        <f t="shared" si="301"/>
        <v>2391787.8914976842</v>
      </c>
      <c r="U158" s="184">
        <f t="shared" si="298"/>
        <v>8718.6806090971986</v>
      </c>
      <c r="V158" s="184">
        <f t="shared" si="298"/>
        <v>-7882.5673176967857</v>
      </c>
      <c r="W158" s="184">
        <f t="shared" si="298"/>
        <v>-8694.6831278538211</v>
      </c>
      <c r="Y158" s="182">
        <f t="shared" si="302"/>
        <v>2326443.8914976842</v>
      </c>
      <c r="Z158" s="184">
        <f t="shared" si="303"/>
        <v>2062.6806090971986</v>
      </c>
      <c r="AA158" s="184">
        <f t="shared" si="304"/>
        <v>-12912.567317696787</v>
      </c>
      <c r="AB158" s="184">
        <f t="shared" si="305"/>
        <v>-13631.683127853821</v>
      </c>
      <c r="AD158" s="195">
        <f t="shared" si="306"/>
        <v>584283.89149768418</v>
      </c>
      <c r="AE158" s="184">
        <f t="shared" si="307"/>
        <v>-233655.31939090279</v>
      </c>
      <c r="AF158" s="184">
        <f t="shared" si="308"/>
        <v>-206882.56731769678</v>
      </c>
      <c r="AG158" s="184">
        <f t="shared" si="309"/>
        <v>-205221.68312785382</v>
      </c>
    </row>
    <row r="159" spans="13:33" x14ac:dyDescent="0.3">
      <c r="M159" s="111"/>
      <c r="N159" s="8"/>
      <c r="O159" s="194">
        <f t="shared" si="337"/>
        <v>2473465.8325269851</v>
      </c>
      <c r="P159" s="193">
        <f t="shared" si="337"/>
        <v>19096.468133781327</v>
      </c>
      <c r="Q159" s="197">
        <f t="shared" si="337"/>
        <v>953.53657504926093</v>
      </c>
      <c r="R159" s="197">
        <f t="shared" si="337"/>
        <v>53.981670918353949</v>
      </c>
      <c r="T159" s="194">
        <f t="shared" si="301"/>
        <v>2414369.8325269851</v>
      </c>
      <c r="U159" s="197">
        <f t="shared" si="298"/>
        <v>8915.4681337813272</v>
      </c>
      <c r="V159" s="197">
        <f t="shared" si="298"/>
        <v>-7871.463424950739</v>
      </c>
      <c r="W159" s="197">
        <f t="shared" si="298"/>
        <v>-8694.0183290816458</v>
      </c>
      <c r="Y159" s="194">
        <f t="shared" si="302"/>
        <v>2349025.8325269851</v>
      </c>
      <c r="Z159" s="197">
        <f t="shared" si="303"/>
        <v>2259.4681337813272</v>
      </c>
      <c r="AA159" s="197">
        <f t="shared" si="304"/>
        <v>-12901.46342495074</v>
      </c>
      <c r="AB159" s="197">
        <f t="shared" si="305"/>
        <v>-13631.018329081646</v>
      </c>
      <c r="AC159" s="8"/>
      <c r="AD159" s="196">
        <f t="shared" si="306"/>
        <v>606865.83252698509</v>
      </c>
      <c r="AE159" s="197">
        <f t="shared" si="307"/>
        <v>-233458.53186621866</v>
      </c>
      <c r="AF159" s="197">
        <f t="shared" si="308"/>
        <v>-206871.46342495075</v>
      </c>
      <c r="AG159" s="197">
        <f t="shared" si="309"/>
        <v>-205221.01832908165</v>
      </c>
    </row>
    <row r="160" spans="13:33" s="217" customFormat="1" x14ac:dyDescent="0.3">
      <c r="M160" s="237"/>
      <c r="N160" s="207"/>
      <c r="O160" s="195">
        <f>O120*O133</f>
        <v>289142.37348296738</v>
      </c>
      <c r="P160" s="184">
        <f t="shared" ref="P160:R160" si="338">P120*P133</f>
        <v>2205.5229386530709</v>
      </c>
      <c r="Q160" s="184">
        <f t="shared" si="338"/>
        <v>108.60113992717588</v>
      </c>
      <c r="R160" s="184">
        <f t="shared" si="338"/>
        <v>6.1049096750375993</v>
      </c>
      <c r="T160" s="195">
        <f t="shared" ref="T160" si="339">O160-T$147</f>
        <v>230046.37348296738</v>
      </c>
      <c r="U160" s="184">
        <f t="shared" ref="U160" si="340">P160-U$147</f>
        <v>-7975.4770613469291</v>
      </c>
      <c r="V160" s="184">
        <f t="shared" ref="V160" si="341">Q160-V$147</f>
        <v>-8716.3988600728244</v>
      </c>
      <c r="W160" s="184">
        <f t="shared" ref="W160" si="342">R160-W$147</f>
        <v>-8741.8950903249624</v>
      </c>
      <c r="Y160" s="195">
        <f t="shared" ref="Y160" si="343">O160-Y$147</f>
        <v>164702.37348296738</v>
      </c>
      <c r="Z160" s="184">
        <f t="shared" ref="Z160" si="344">P160-Z$147</f>
        <v>-14631.47706134693</v>
      </c>
      <c r="AA160" s="184">
        <f t="shared" ref="AA160" si="345">Q160-AA$147</f>
        <v>-13746.398860072824</v>
      </c>
      <c r="AB160" s="184">
        <f t="shared" ref="AB160" si="346">R160-AB$147</f>
        <v>-13678.895090324962</v>
      </c>
      <c r="AC160" s="207"/>
      <c r="AD160" s="184">
        <f t="shared" ref="AD160" si="347">O160-AD$147</f>
        <v>-1577457.6265170327</v>
      </c>
      <c r="AE160" s="184">
        <f t="shared" ref="AE160" si="348">P160-AE$147</f>
        <v>-250349.47706134693</v>
      </c>
      <c r="AF160" s="184">
        <f t="shared" ref="AF160" si="349">Q160-AF$147</f>
        <v>-207716.39886007283</v>
      </c>
      <c r="AG160" s="184">
        <f t="shared" ref="AG160" si="350">R160-AG$147</f>
        <v>-205268.89509032495</v>
      </c>
    </row>
    <row r="161" spans="13:33" ht="28.8" x14ac:dyDescent="0.3">
      <c r="M161" s="169" t="s">
        <v>922</v>
      </c>
      <c r="O161" s="195">
        <f>O121*O134</f>
        <v>304374.06609401864</v>
      </c>
      <c r="P161" s="184">
        <f t="shared" ref="P161:R161" si="351">P121*P134</f>
        <v>2338.2576350101704</v>
      </c>
      <c r="Q161" s="184">
        <f t="shared" si="351"/>
        <v>116.09080084137318</v>
      </c>
      <c r="R161" s="184">
        <f t="shared" si="351"/>
        <v>6.553321551272</v>
      </c>
      <c r="T161" s="195">
        <f t="shared" si="301"/>
        <v>245278.06609401864</v>
      </c>
      <c r="U161" s="184">
        <f t="shared" si="298"/>
        <v>-7842.7423649898301</v>
      </c>
      <c r="V161" s="184">
        <f t="shared" si="298"/>
        <v>-8708.9091991586265</v>
      </c>
      <c r="W161" s="184">
        <f t="shared" si="298"/>
        <v>-8741.4466784487286</v>
      </c>
      <c r="Y161" s="195">
        <f t="shared" si="302"/>
        <v>179934.06609401864</v>
      </c>
      <c r="Z161" s="184">
        <f t="shared" si="303"/>
        <v>-14498.74236498983</v>
      </c>
      <c r="AA161" s="184">
        <f t="shared" si="304"/>
        <v>-13738.909199158627</v>
      </c>
      <c r="AB161" s="184">
        <f t="shared" si="305"/>
        <v>-13678.446678448729</v>
      </c>
      <c r="AD161" s="184">
        <f t="shared" si="306"/>
        <v>-1562225.9339059815</v>
      </c>
      <c r="AE161" s="184">
        <f t="shared" si="307"/>
        <v>-250216.74236498983</v>
      </c>
      <c r="AF161" s="184">
        <f t="shared" si="308"/>
        <v>-207708.90919915863</v>
      </c>
      <c r="AG161" s="184">
        <f t="shared" si="309"/>
        <v>-205268.44667844873</v>
      </c>
    </row>
    <row r="162" spans="13:33" x14ac:dyDescent="0.3">
      <c r="M162" s="169"/>
      <c r="O162" s="195">
        <f t="shared" ref="O162:R163" si="352">O122*O135</f>
        <v>313231.88118167612</v>
      </c>
      <c r="P162" s="184">
        <f t="shared" si="352"/>
        <v>2415.4479661224523</v>
      </c>
      <c r="Q162" s="184">
        <f t="shared" si="352"/>
        <v>120.44632672686022</v>
      </c>
      <c r="R162" s="184">
        <f t="shared" si="352"/>
        <v>6.8140903039129288</v>
      </c>
      <c r="T162" s="195">
        <f t="shared" si="301"/>
        <v>254135.88118167612</v>
      </c>
      <c r="U162" s="184">
        <f t="shared" si="298"/>
        <v>-7765.5520338775477</v>
      </c>
      <c r="V162" s="184">
        <f t="shared" si="298"/>
        <v>-8704.5536732731398</v>
      </c>
      <c r="W162" s="184">
        <f t="shared" si="298"/>
        <v>-8741.185909696087</v>
      </c>
      <c r="Y162" s="195">
        <f t="shared" si="302"/>
        <v>188791.88118167612</v>
      </c>
      <c r="Z162" s="184">
        <f t="shared" si="303"/>
        <v>-14421.552033877548</v>
      </c>
      <c r="AA162" s="184">
        <f t="shared" si="304"/>
        <v>-13734.55367327314</v>
      </c>
      <c r="AB162" s="184">
        <f t="shared" si="305"/>
        <v>-13678.185909696087</v>
      </c>
      <c r="AD162" s="184">
        <f t="shared" si="306"/>
        <v>-1553368.1188183238</v>
      </c>
      <c r="AE162" s="184">
        <f t="shared" si="307"/>
        <v>-250139.55203387755</v>
      </c>
      <c r="AF162" s="184">
        <f t="shared" si="308"/>
        <v>-207704.55367327313</v>
      </c>
      <c r="AG162" s="184">
        <f t="shared" si="309"/>
        <v>-205268.1859096961</v>
      </c>
    </row>
    <row r="163" spans="13:33" x14ac:dyDescent="0.3">
      <c r="M163" s="111"/>
      <c r="N163" s="8"/>
      <c r="O163" s="196">
        <f t="shared" si="352"/>
        <v>316117.93543087156</v>
      </c>
      <c r="P163" s="197">
        <f t="shared" si="352"/>
        <v>2440.5981279737457</v>
      </c>
      <c r="Q163" s="197">
        <f t="shared" si="352"/>
        <v>121.86544463177182</v>
      </c>
      <c r="R163" s="197">
        <f t="shared" si="352"/>
        <v>6.899054006492972</v>
      </c>
      <c r="T163" s="196">
        <f t="shared" si="301"/>
        <v>257021.93543087156</v>
      </c>
      <c r="U163" s="197">
        <f t="shared" si="298"/>
        <v>-7740.4018720262538</v>
      </c>
      <c r="V163" s="197">
        <f t="shared" si="298"/>
        <v>-8703.1345553682277</v>
      </c>
      <c r="W163" s="197">
        <f t="shared" si="298"/>
        <v>-8741.1009459935067</v>
      </c>
      <c r="Y163" s="196">
        <f t="shared" si="302"/>
        <v>191677.93543087156</v>
      </c>
      <c r="Z163" s="197">
        <f t="shared" si="303"/>
        <v>-14396.401872026254</v>
      </c>
      <c r="AA163" s="197">
        <f t="shared" si="304"/>
        <v>-13733.134555368228</v>
      </c>
      <c r="AB163" s="197">
        <f t="shared" si="305"/>
        <v>-13678.100945993507</v>
      </c>
      <c r="AC163" s="8"/>
      <c r="AD163" s="197">
        <f t="shared" si="306"/>
        <v>-1550482.0645691284</v>
      </c>
      <c r="AE163" s="197">
        <f t="shared" si="307"/>
        <v>-250114.40187202627</v>
      </c>
      <c r="AF163" s="197">
        <f t="shared" si="308"/>
        <v>-207703.13455536822</v>
      </c>
      <c r="AG163" s="197">
        <f t="shared" si="309"/>
        <v>-205268.1009459935</v>
      </c>
    </row>
    <row r="164" spans="13:33" s="217" customFormat="1" x14ac:dyDescent="0.3">
      <c r="M164" s="237"/>
      <c r="N164" s="207"/>
      <c r="O164" s="183">
        <f>O124*O133</f>
        <v>21063.351710679741</v>
      </c>
      <c r="P164" s="184">
        <f t="shared" ref="P164:R164" si="353">P124*P133</f>
        <v>160.6672339416144</v>
      </c>
      <c r="Q164" s="184">
        <f t="shared" si="353"/>
        <v>7.9113413191982422</v>
      </c>
      <c r="R164" s="184">
        <f t="shared" si="353"/>
        <v>0.44472851937359981</v>
      </c>
      <c r="T164" s="184">
        <f t="shared" ref="T164" si="354">O164-T$147</f>
        <v>-38032.648289320263</v>
      </c>
      <c r="U164" s="184">
        <f t="shared" ref="U164" si="355">P164-U$147</f>
        <v>-10020.332766058385</v>
      </c>
      <c r="V164" s="184">
        <f t="shared" ref="V164" si="356">Q164-V$147</f>
        <v>-8817.088658680801</v>
      </c>
      <c r="W164" s="184">
        <f t="shared" ref="W164" si="357">R164-W$147</f>
        <v>-8747.5552714806272</v>
      </c>
      <c r="Y164" s="184">
        <f t="shared" ref="Y164" si="358">O164-Y$147</f>
        <v>-103376.64828932026</v>
      </c>
      <c r="Z164" s="184">
        <f t="shared" ref="Z164" si="359">P164-Z$147</f>
        <v>-16676.332766058385</v>
      </c>
      <c r="AA164" s="184">
        <f t="shared" ref="AA164" si="360">Q164-AA$147</f>
        <v>-13847.088658680801</v>
      </c>
      <c r="AB164" s="184">
        <f t="shared" ref="AB164" si="361">R164-AB$147</f>
        <v>-13684.555271480627</v>
      </c>
      <c r="AC164" s="207"/>
      <c r="AD164" s="234"/>
      <c r="AE164" s="234"/>
      <c r="AF164" s="234"/>
      <c r="AG164" s="234"/>
    </row>
    <row r="165" spans="13:33" ht="28.8" x14ac:dyDescent="0.3">
      <c r="M165" s="169" t="s">
        <v>923</v>
      </c>
      <c r="O165" s="183">
        <f t="shared" ref="O165:R167" si="362">O125*O134</f>
        <v>22172.945212147049</v>
      </c>
      <c r="P165" s="184">
        <f t="shared" si="362"/>
        <v>170.33664890802558</v>
      </c>
      <c r="Q165" s="184">
        <f t="shared" si="362"/>
        <v>8.4569457566563244</v>
      </c>
      <c r="R165" s="184">
        <f t="shared" si="362"/>
        <v>0.47739428519199989</v>
      </c>
      <c r="T165" s="184">
        <f t="shared" si="301"/>
        <v>-36923.054787852947</v>
      </c>
      <c r="U165" s="184">
        <f t="shared" si="298"/>
        <v>-10010.663351091975</v>
      </c>
      <c r="V165" s="184">
        <f t="shared" si="298"/>
        <v>-8816.5430542433442</v>
      </c>
      <c r="W165" s="184">
        <f t="shared" si="298"/>
        <v>-8747.5226057148084</v>
      </c>
      <c r="Y165" s="184">
        <f t="shared" si="302"/>
        <v>-102267.05478785295</v>
      </c>
      <c r="Z165" s="184">
        <f t="shared" si="303"/>
        <v>-16666.663351091975</v>
      </c>
      <c r="AA165" s="184">
        <f t="shared" si="304"/>
        <v>-13846.543054243344</v>
      </c>
      <c r="AB165" s="184">
        <f t="shared" si="305"/>
        <v>-13684.522605714808</v>
      </c>
      <c r="AD165" s="184">
        <f t="shared" si="306"/>
        <v>-1844427.054787853</v>
      </c>
      <c r="AE165" s="184">
        <f t="shared" si="307"/>
        <v>-252384.66335109196</v>
      </c>
      <c r="AF165" s="184">
        <f t="shared" si="308"/>
        <v>-207816.54305424335</v>
      </c>
      <c r="AG165" s="184">
        <f t="shared" si="309"/>
        <v>-205274.5226057148</v>
      </c>
    </row>
    <row r="166" spans="13:33" x14ac:dyDescent="0.3">
      <c r="M166" s="169"/>
      <c r="O166" s="183">
        <f t="shared" si="362"/>
        <v>22818.216509923423</v>
      </c>
      <c r="P166" s="184">
        <f t="shared" si="362"/>
        <v>175.95978561156934</v>
      </c>
      <c r="Q166" s="184">
        <f t="shared" si="362"/>
        <v>8.7742357218242546</v>
      </c>
      <c r="R166" s="184">
        <f t="shared" si="362"/>
        <v>0.49639068439100792</v>
      </c>
      <c r="T166" s="184">
        <f t="shared" si="301"/>
        <v>-36277.783490076574</v>
      </c>
      <c r="U166" s="184">
        <f t="shared" si="298"/>
        <v>-10005.040214388431</v>
      </c>
      <c r="V166" s="184">
        <f t="shared" si="298"/>
        <v>-8816.2257642781751</v>
      </c>
      <c r="W166" s="184">
        <f t="shared" si="298"/>
        <v>-8747.5036093156086</v>
      </c>
      <c r="Y166" s="184">
        <f t="shared" si="302"/>
        <v>-101621.78349007657</v>
      </c>
      <c r="Z166" s="184">
        <f t="shared" si="303"/>
        <v>-16661.040214388431</v>
      </c>
      <c r="AA166" s="184">
        <f t="shared" si="304"/>
        <v>-13846.225764278175</v>
      </c>
      <c r="AB166" s="184">
        <f t="shared" si="305"/>
        <v>-13684.503609315609</v>
      </c>
      <c r="AD166" s="184">
        <f t="shared" si="306"/>
        <v>-1843781.7834900767</v>
      </c>
      <c r="AE166" s="184">
        <f t="shared" si="307"/>
        <v>-252379.04021438843</v>
      </c>
      <c r="AF166" s="184">
        <f t="shared" si="308"/>
        <v>-207816.22576427818</v>
      </c>
      <c r="AG166" s="184">
        <f t="shared" si="309"/>
        <v>-205274.50360931561</v>
      </c>
    </row>
    <row r="167" spans="13:33" x14ac:dyDescent="0.3">
      <c r="M167" s="111"/>
      <c r="N167" s="8"/>
      <c r="O167" s="193">
        <f t="shared" si="362"/>
        <v>23028.458872447594</v>
      </c>
      <c r="P167" s="197">
        <f t="shared" si="362"/>
        <v>177.7919166073589</v>
      </c>
      <c r="Q167" s="197">
        <f t="shared" si="362"/>
        <v>8.8776151718509269</v>
      </c>
      <c r="R167" s="197">
        <f t="shared" si="362"/>
        <v>0.5025800931882296</v>
      </c>
      <c r="T167" s="197">
        <f t="shared" si="301"/>
        <v>-36067.541127552409</v>
      </c>
      <c r="U167" s="197">
        <f t="shared" si="298"/>
        <v>-10003.208083392641</v>
      </c>
      <c r="V167" s="197">
        <f t="shared" si="298"/>
        <v>-8816.1223848281497</v>
      </c>
      <c r="W167" s="197">
        <f t="shared" si="298"/>
        <v>-8747.497419906811</v>
      </c>
      <c r="Y167" s="197">
        <f t="shared" si="302"/>
        <v>-101411.54112755241</v>
      </c>
      <c r="Z167" s="197">
        <f t="shared" si="303"/>
        <v>-16659.208083392641</v>
      </c>
      <c r="AA167" s="197">
        <f t="shared" si="304"/>
        <v>-13846.12238482815</v>
      </c>
      <c r="AB167" s="197">
        <f t="shared" si="305"/>
        <v>-13684.497419906811</v>
      </c>
      <c r="AC167" s="8"/>
      <c r="AD167" s="197">
        <f t="shared" si="306"/>
        <v>-1843571.5411275525</v>
      </c>
      <c r="AE167" s="197">
        <f t="shared" si="307"/>
        <v>-252377.20808339264</v>
      </c>
      <c r="AF167" s="197">
        <f t="shared" si="308"/>
        <v>-207816.12238482814</v>
      </c>
      <c r="AG167" s="197">
        <f t="shared" si="309"/>
        <v>-205274.49741990681</v>
      </c>
    </row>
    <row r="168" spans="13:33" s="217" customFormat="1" x14ac:dyDescent="0.3">
      <c r="M168" s="237"/>
      <c r="N168" s="207"/>
      <c r="O168" s="184">
        <f>O128*O133</f>
        <v>2872.2752332745108</v>
      </c>
      <c r="P168" s="184">
        <f t="shared" ref="P168:R168" si="363">P128*P133</f>
        <v>21.909168264765601</v>
      </c>
      <c r="Q168" s="184">
        <f t="shared" si="363"/>
        <v>1.0788192707997604</v>
      </c>
      <c r="R168" s="184">
        <f t="shared" si="363"/>
        <v>6.0644798096399985E-2</v>
      </c>
      <c r="T168" s="184">
        <f t="shared" ref="T168" si="364">O168-T$147</f>
        <v>-56223.724766725492</v>
      </c>
      <c r="U168" s="184">
        <f t="shared" ref="U168" si="365">P168-U$147</f>
        <v>-10159.090831735235</v>
      </c>
      <c r="V168" s="184">
        <f t="shared" ref="V168" si="366">Q168-V$147</f>
        <v>-8823.9211807291995</v>
      </c>
      <c r="W168" s="184">
        <f t="shared" ref="W168" si="367">R168-W$147</f>
        <v>-8747.9393552019028</v>
      </c>
      <c r="Y168" s="234"/>
      <c r="Z168" s="234"/>
      <c r="AA168" s="234"/>
      <c r="AB168" s="234"/>
      <c r="AC168" s="207"/>
      <c r="AD168" s="234"/>
      <c r="AE168" s="234"/>
      <c r="AF168" s="234"/>
      <c r="AG168" s="234"/>
    </row>
    <row r="169" spans="13:33" x14ac:dyDescent="0.3">
      <c r="M169" s="169" t="s">
        <v>827</v>
      </c>
      <c r="O169" s="184">
        <f t="shared" ref="O169:R171" si="368">O129*O134</f>
        <v>3023.5834380200531</v>
      </c>
      <c r="P169" s="184">
        <f t="shared" si="368"/>
        <v>23.227724851094404</v>
      </c>
      <c r="Q169" s="184">
        <f t="shared" si="368"/>
        <v>1.1532198759076806</v>
      </c>
      <c r="R169" s="184">
        <f t="shared" si="368"/>
        <v>6.5099220708000005E-2</v>
      </c>
      <c r="T169" s="184">
        <f t="shared" si="301"/>
        <v>-56072.416561979946</v>
      </c>
      <c r="U169" s="184">
        <f t="shared" si="298"/>
        <v>-10157.772275148905</v>
      </c>
      <c r="V169" s="184">
        <f t="shared" si="298"/>
        <v>-8823.8467801240931</v>
      </c>
      <c r="W169" s="184">
        <f t="shared" si="298"/>
        <v>-8747.9349007792916</v>
      </c>
      <c r="Y169" s="184">
        <f t="shared" si="302"/>
        <v>-121416.41656197995</v>
      </c>
      <c r="Z169" s="184">
        <f t="shared" si="303"/>
        <v>-16813.772275148905</v>
      </c>
      <c r="AA169" s="184">
        <f t="shared" si="304"/>
        <v>-13853.846780124093</v>
      </c>
      <c r="AB169" s="184">
        <f t="shared" si="305"/>
        <v>-13684.934900779292</v>
      </c>
      <c r="AD169" s="184">
        <f t="shared" si="306"/>
        <v>-1863576.41656198</v>
      </c>
      <c r="AE169" s="184">
        <f t="shared" si="307"/>
        <v>-252531.77227514892</v>
      </c>
      <c r="AF169" s="184">
        <f t="shared" si="308"/>
        <v>-207823.84678012409</v>
      </c>
      <c r="AG169" s="184">
        <f t="shared" si="309"/>
        <v>-205274.93490077931</v>
      </c>
    </row>
    <row r="170" spans="13:33" x14ac:dyDescent="0.3">
      <c r="M170" s="168" t="s">
        <v>925</v>
      </c>
      <c r="O170" s="184">
        <f t="shared" si="368"/>
        <v>3111.5749786259216</v>
      </c>
      <c r="P170" s="184">
        <f t="shared" si="368"/>
        <v>23.994516219759458</v>
      </c>
      <c r="Q170" s="184">
        <f t="shared" si="368"/>
        <v>1.1964866893396711</v>
      </c>
      <c r="R170" s="184">
        <f t="shared" si="368"/>
        <v>6.7689638780592004E-2</v>
      </c>
      <c r="T170" s="184">
        <f t="shared" si="301"/>
        <v>-55984.425021374082</v>
      </c>
      <c r="U170" s="184">
        <f t="shared" ref="U170:U171" si="369">P170-U$147</f>
        <v>-10157.00548378024</v>
      </c>
      <c r="V170" s="184">
        <f t="shared" ref="V170:V171" si="370">Q170-V$147</f>
        <v>-8823.8035133106605</v>
      </c>
      <c r="W170" s="184">
        <f t="shared" ref="W170:W171" si="371">R170-W$147</f>
        <v>-8747.9323103612187</v>
      </c>
      <c r="Y170" s="184">
        <f t="shared" si="302"/>
        <v>-121328.42502137407</v>
      </c>
      <c r="Z170" s="184">
        <f t="shared" si="303"/>
        <v>-16813.005483780242</v>
      </c>
      <c r="AA170" s="184">
        <f t="shared" si="304"/>
        <v>-13853.80351331066</v>
      </c>
      <c r="AB170" s="184">
        <f t="shared" si="305"/>
        <v>-13684.932310361219</v>
      </c>
      <c r="AD170" s="184">
        <f t="shared" si="306"/>
        <v>-1863488.4250213741</v>
      </c>
      <c r="AE170" s="184">
        <f t="shared" si="307"/>
        <v>-252531.00548378023</v>
      </c>
      <c r="AF170" s="184">
        <f t="shared" si="308"/>
        <v>-207823.80351331065</v>
      </c>
      <c r="AG170" s="184">
        <f t="shared" si="309"/>
        <v>-205274.93231036121</v>
      </c>
    </row>
    <row r="171" spans="13:33" x14ac:dyDescent="0.3">
      <c r="M171" s="8"/>
      <c r="N171" s="8"/>
      <c r="O171" s="184">
        <f t="shared" si="368"/>
        <v>3140.2443916973998</v>
      </c>
      <c r="P171" s="184">
        <f t="shared" si="368"/>
        <v>24.244352264639854</v>
      </c>
      <c r="Q171" s="184">
        <f t="shared" si="368"/>
        <v>1.210583887070581</v>
      </c>
      <c r="R171" s="184">
        <f t="shared" si="368"/>
        <v>6.8533649071122235E-2</v>
      </c>
      <c r="T171" s="184">
        <f t="shared" si="301"/>
        <v>-55955.755608302599</v>
      </c>
      <c r="U171" s="184">
        <f t="shared" si="369"/>
        <v>-10156.755647735361</v>
      </c>
      <c r="V171" s="184">
        <f t="shared" si="370"/>
        <v>-8823.7894161129298</v>
      </c>
      <c r="W171" s="184">
        <f t="shared" si="371"/>
        <v>-8747.9314663509285</v>
      </c>
      <c r="Y171" s="184">
        <f t="shared" si="302"/>
        <v>-121299.7556083026</v>
      </c>
      <c r="Z171" s="184">
        <f t="shared" si="303"/>
        <v>-16812.755647735361</v>
      </c>
      <c r="AA171" s="184">
        <f t="shared" si="304"/>
        <v>-13853.78941611293</v>
      </c>
      <c r="AB171" s="184">
        <f t="shared" si="305"/>
        <v>-13684.931466350929</v>
      </c>
      <c r="AD171" s="184">
        <f t="shared" si="306"/>
        <v>-1863459.7556083025</v>
      </c>
      <c r="AE171" s="184">
        <f t="shared" si="307"/>
        <v>-252530.75564773535</v>
      </c>
      <c r="AF171" s="184">
        <f t="shared" si="308"/>
        <v>-207823.78941611294</v>
      </c>
      <c r="AG171" s="184">
        <f t="shared" si="309"/>
        <v>-205274.93146635094</v>
      </c>
    </row>
    <row r="174" spans="13:33" x14ac:dyDescent="0.3">
      <c r="M174" s="168" t="s">
        <v>858</v>
      </c>
      <c r="T174" s="178" t="s">
        <v>969</v>
      </c>
      <c r="U174" s="168"/>
      <c r="V174" s="168"/>
      <c r="W174" s="168"/>
      <c r="Y174" s="178" t="s">
        <v>968</v>
      </c>
      <c r="Z174" s="178"/>
      <c r="AA174" s="178"/>
      <c r="AB174" s="178"/>
      <c r="AC174" s="178"/>
      <c r="AD174" s="213" t="s">
        <v>970</v>
      </c>
    </row>
    <row r="175" spans="13:33" x14ac:dyDescent="0.3">
      <c r="M175" s="176" t="s">
        <v>823</v>
      </c>
      <c r="N175" s="168"/>
      <c r="O175" s="188" t="s">
        <v>828</v>
      </c>
      <c r="P175" s="188" t="s">
        <v>829</v>
      </c>
      <c r="Q175" s="188" t="s">
        <v>830</v>
      </c>
      <c r="R175" s="188" t="s">
        <v>831</v>
      </c>
      <c r="T175" s="170">
        <v>59096</v>
      </c>
      <c r="U175" s="170">
        <v>10181</v>
      </c>
      <c r="V175" s="170">
        <v>8825</v>
      </c>
      <c r="W175" s="170">
        <v>8748</v>
      </c>
      <c r="X175" s="8"/>
      <c r="Y175" s="170">
        <v>124440</v>
      </c>
      <c r="Z175" s="170">
        <v>16837</v>
      </c>
      <c r="AA175" s="170">
        <v>13855</v>
      </c>
      <c r="AB175" s="170">
        <v>13685</v>
      </c>
      <c r="AC175" s="8"/>
      <c r="AD175" s="170">
        <f>Y175*15</f>
        <v>1866600</v>
      </c>
      <c r="AE175" s="170">
        <f>Z175*15</f>
        <v>252555</v>
      </c>
      <c r="AF175" s="170">
        <f>AA175*15</f>
        <v>207825</v>
      </c>
      <c r="AG175" s="170">
        <f>AB175*15</f>
        <v>205275</v>
      </c>
    </row>
    <row r="176" spans="13:33" s="217" customFormat="1" x14ac:dyDescent="0.3">
      <c r="M176" s="225"/>
      <c r="O176" s="182">
        <f>O108*(O133+O137)</f>
        <v>989076642.42317009</v>
      </c>
      <c r="P176" s="182">
        <f t="shared" ref="P176:R176" si="372">P108*(P133+P137)</f>
        <v>8633337.7782552</v>
      </c>
      <c r="Q176" s="195">
        <f t="shared" si="372"/>
        <v>419289.15734992007</v>
      </c>
      <c r="R176" s="183">
        <f t="shared" si="372"/>
        <v>25646.712323799999</v>
      </c>
      <c r="T176" s="182">
        <f>O176-T$147</f>
        <v>989017546.42317009</v>
      </c>
      <c r="U176" s="182">
        <f t="shared" ref="U176" si="373">P176-U$147</f>
        <v>8623156.7782552</v>
      </c>
      <c r="V176" s="195">
        <f t="shared" ref="V176" si="374">Q176-V$147</f>
        <v>410464.15734992007</v>
      </c>
      <c r="W176" s="183">
        <f t="shared" ref="W176" si="375">R176-W$147</f>
        <v>16898.712323799999</v>
      </c>
      <c r="X176" s="207"/>
      <c r="Y176" s="182">
        <f>O176-Y$175</f>
        <v>988952202.42317009</v>
      </c>
      <c r="Z176" s="182">
        <f t="shared" ref="Z176" si="376">P176-Z$175</f>
        <v>8616500.7782552</v>
      </c>
      <c r="AA176" s="195">
        <f t="shared" ref="AA176" si="377">Q176-AA$175</f>
        <v>405434.15734992007</v>
      </c>
      <c r="AB176" s="183">
        <f t="shared" ref="AB176" si="378">R176-AB$175</f>
        <v>11961.712323799999</v>
      </c>
      <c r="AC176" s="207"/>
      <c r="AD176" s="182">
        <f>O176-AD$175</f>
        <v>987210042.42317009</v>
      </c>
      <c r="AE176" s="182">
        <f t="shared" ref="AE176" si="379">P176-AE$175</f>
        <v>8380782.7782552</v>
      </c>
      <c r="AF176" s="195">
        <f t="shared" ref="AF176" si="380">Q176-AF$175</f>
        <v>211464.15734992007</v>
      </c>
      <c r="AG176" s="184">
        <f t="shared" ref="AG176" si="381">R176-AG$175</f>
        <v>-179628.28767620001</v>
      </c>
    </row>
    <row r="177" spans="13:33" x14ac:dyDescent="0.3">
      <c r="M177" s="210" t="s">
        <v>826</v>
      </c>
      <c r="N177" s="168"/>
      <c r="O177" s="182">
        <f t="shared" ref="O177:R179" si="382">O109*(O134+O138)</f>
        <v>1041493558.696684</v>
      </c>
      <c r="P177" s="182">
        <f t="shared" si="382"/>
        <v>9168172.1723647993</v>
      </c>
      <c r="Q177" s="195">
        <f t="shared" si="382"/>
        <v>448188.56650256016</v>
      </c>
      <c r="R177" s="183">
        <f t="shared" si="382"/>
        <v>27507.651395999997</v>
      </c>
      <c r="T177" s="182">
        <f>O177-T$147</f>
        <v>1041434462.696684</v>
      </c>
      <c r="U177" s="182">
        <f t="shared" ref="U177:W180" si="383">P177-U$147</f>
        <v>9157991.1723647993</v>
      </c>
      <c r="V177" s="195">
        <f t="shared" si="383"/>
        <v>439363.56650256016</v>
      </c>
      <c r="W177" s="183">
        <f t="shared" si="383"/>
        <v>18759.651395999997</v>
      </c>
      <c r="Y177" s="182">
        <f>O177-Y$175</f>
        <v>1041369118.696684</v>
      </c>
      <c r="Z177" s="182">
        <f t="shared" ref="Z177:AB177" si="384">P177-Z$175</f>
        <v>9151335.1723647993</v>
      </c>
      <c r="AA177" s="195">
        <f t="shared" si="384"/>
        <v>434333.56650256016</v>
      </c>
      <c r="AB177" s="183">
        <f t="shared" si="384"/>
        <v>13822.651395999997</v>
      </c>
      <c r="AC177" s="101"/>
      <c r="AD177" s="182">
        <f>O177-AD$175</f>
        <v>1039626958.696684</v>
      </c>
      <c r="AE177" s="182">
        <f t="shared" ref="AE177:AG197" si="385">P177-AE$175</f>
        <v>8915617.1723647993</v>
      </c>
      <c r="AF177" s="195">
        <f t="shared" si="385"/>
        <v>240363.56650256016</v>
      </c>
      <c r="AG177" s="184">
        <f t="shared" si="385"/>
        <v>-177767.348604</v>
      </c>
    </row>
    <row r="178" spans="13:33" x14ac:dyDescent="0.3">
      <c r="M178" s="210" t="s">
        <v>924</v>
      </c>
      <c r="N178" s="168"/>
      <c r="O178" s="182">
        <f t="shared" si="382"/>
        <v>1071976011.5449739</v>
      </c>
      <c r="P178" s="182">
        <f t="shared" si="382"/>
        <v>9479198.9430931527</v>
      </c>
      <c r="Q178" s="195">
        <f t="shared" si="382"/>
        <v>464994.68444055697</v>
      </c>
      <c r="R178" s="183">
        <f t="shared" si="382"/>
        <v>28589.859041064006</v>
      </c>
      <c r="T178" s="182">
        <f t="shared" ref="T178:T181" si="386">O178-T$147</f>
        <v>1071916915.5449739</v>
      </c>
      <c r="U178" s="182">
        <f t="shared" si="383"/>
        <v>9469017.9430931527</v>
      </c>
      <c r="V178" s="195">
        <f t="shared" si="383"/>
        <v>456169.68444055697</v>
      </c>
      <c r="W178" s="183">
        <f t="shared" si="383"/>
        <v>19841.859041064006</v>
      </c>
      <c r="Y178" s="182">
        <f t="shared" ref="Y178:Y199" si="387">O178-Y$175</f>
        <v>1071851571.5449739</v>
      </c>
      <c r="Z178" s="182">
        <f t="shared" ref="Z178:Z199" si="388">P178-Z$175</f>
        <v>9462361.9430931527</v>
      </c>
      <c r="AA178" s="195">
        <f t="shared" ref="AA178:AA199" si="389">Q178-AA$175</f>
        <v>451139.68444055697</v>
      </c>
      <c r="AB178" s="183">
        <f t="shared" ref="AB178:AB199" si="390">R178-AB$175</f>
        <v>14904.859041064006</v>
      </c>
      <c r="AC178" s="101"/>
      <c r="AD178" s="182">
        <f t="shared" ref="AD178:AD199" si="391">O178-AD$175</f>
        <v>1070109411.5449739</v>
      </c>
      <c r="AE178" s="182">
        <f t="shared" si="385"/>
        <v>9226643.9430931527</v>
      </c>
      <c r="AF178" s="195">
        <f t="shared" si="385"/>
        <v>257169.68444055697</v>
      </c>
      <c r="AG178" s="184">
        <f t="shared" si="385"/>
        <v>-176685.14095893598</v>
      </c>
    </row>
    <row r="179" spans="13:33" x14ac:dyDescent="0.3">
      <c r="M179" s="111"/>
      <c r="N179" s="8"/>
      <c r="O179" s="194">
        <f t="shared" si="382"/>
        <v>1081907807.5576599</v>
      </c>
      <c r="P179" s="194">
        <f t="shared" si="382"/>
        <v>9580537.7184447516</v>
      </c>
      <c r="Q179" s="196">
        <f t="shared" si="382"/>
        <v>470470.45556554029</v>
      </c>
      <c r="R179" s="193">
        <f t="shared" si="382"/>
        <v>28942.464050498078</v>
      </c>
      <c r="T179" s="194">
        <f t="shared" si="386"/>
        <v>1081848711.5576599</v>
      </c>
      <c r="U179" s="194">
        <f t="shared" si="383"/>
        <v>9570356.7184447516</v>
      </c>
      <c r="V179" s="196">
        <f t="shared" si="383"/>
        <v>461645.45556554029</v>
      </c>
      <c r="W179" s="193">
        <f t="shared" si="383"/>
        <v>20194.464050498078</v>
      </c>
      <c r="Y179" s="194">
        <f t="shared" si="387"/>
        <v>1081783367.5576599</v>
      </c>
      <c r="Z179" s="194">
        <f t="shared" si="388"/>
        <v>9563700.7184447516</v>
      </c>
      <c r="AA179" s="196">
        <f t="shared" si="389"/>
        <v>456615.45556554029</v>
      </c>
      <c r="AB179" s="193">
        <f t="shared" si="390"/>
        <v>15257.464050498078</v>
      </c>
      <c r="AC179" s="208"/>
      <c r="AD179" s="194">
        <f t="shared" si="391"/>
        <v>1080041207.5576599</v>
      </c>
      <c r="AE179" s="194">
        <f t="shared" si="385"/>
        <v>9327982.7184447516</v>
      </c>
      <c r="AF179" s="196">
        <f t="shared" si="385"/>
        <v>262645.45556554029</v>
      </c>
      <c r="AG179" s="197">
        <f t="shared" si="385"/>
        <v>-176332.53594950191</v>
      </c>
    </row>
    <row r="180" spans="13:33" s="217" customFormat="1" x14ac:dyDescent="0.3">
      <c r="M180" s="237"/>
      <c r="N180" s="207"/>
      <c r="O180" s="182">
        <f>O112*(O133+O137)</f>
        <v>9635584.6504865233</v>
      </c>
      <c r="P180" s="183">
        <f t="shared" ref="P180:R180" si="392">P112*(P133+P137)</f>
        <v>84105.976635762185</v>
      </c>
      <c r="Q180" s="184">
        <f t="shared" si="392"/>
        <v>4084.7149709029218</v>
      </c>
      <c r="R180" s="184">
        <f t="shared" si="392"/>
        <v>249.85027145845959</v>
      </c>
      <c r="T180" s="182">
        <f t="shared" ref="T180" si="393">O180-T$147</f>
        <v>9576488.6504865233</v>
      </c>
      <c r="U180" s="183">
        <f t="shared" si="383"/>
        <v>73924.976635762185</v>
      </c>
      <c r="V180" s="184">
        <f t="shared" si="383"/>
        <v>-4740.2850290970782</v>
      </c>
      <c r="W180" s="184">
        <f t="shared" si="383"/>
        <v>-8498.1497285415408</v>
      </c>
      <c r="Y180" s="182">
        <f t="shared" ref="Y180" si="394">O180-Y$175</f>
        <v>9511144.6504865233</v>
      </c>
      <c r="Z180" s="183">
        <f t="shared" ref="Z180" si="395">P180-Z$175</f>
        <v>67268.976635762185</v>
      </c>
      <c r="AA180" s="184">
        <f t="shared" ref="AA180" si="396">Q180-AA$175</f>
        <v>-9770.2850290970782</v>
      </c>
      <c r="AB180" s="184">
        <f t="shared" ref="AB180" si="397">R180-AB$175</f>
        <v>-13435.149728541541</v>
      </c>
      <c r="AC180" s="208"/>
      <c r="AD180" s="182">
        <f t="shared" ref="AD180" si="398">O180-AD$175</f>
        <v>7768984.6504865233</v>
      </c>
      <c r="AE180" s="184">
        <f t="shared" ref="AE180" si="399">P180-AE$175</f>
        <v>-168449.0233642378</v>
      </c>
      <c r="AF180" s="184">
        <f t="shared" ref="AF180" si="400">Q180-AF$175</f>
        <v>-203740.28502909708</v>
      </c>
      <c r="AG180" s="184">
        <f t="shared" ref="AG180" si="401">R180-AG$175</f>
        <v>-205025.14972854155</v>
      </c>
    </row>
    <row r="181" spans="13:33" ht="28.8" x14ac:dyDescent="0.3">
      <c r="M181" s="210" t="s">
        <v>920</v>
      </c>
      <c r="N181" s="168"/>
      <c r="O181" s="182">
        <f t="shared" ref="O181:R183" si="402">O113*(O134+O138)</f>
        <v>10146230.248823097</v>
      </c>
      <c r="P181" s="183">
        <f t="shared" si="402"/>
        <v>89316.333303177889</v>
      </c>
      <c r="Q181" s="184">
        <f t="shared" si="402"/>
        <v>4366.2530148679425</v>
      </c>
      <c r="R181" s="184">
        <f t="shared" si="402"/>
        <v>267.97953989983199</v>
      </c>
      <c r="T181" s="182">
        <f t="shared" si="386"/>
        <v>10087134.248823097</v>
      </c>
      <c r="U181" s="183">
        <f t="shared" ref="U181:U199" si="403">P181-U$147</f>
        <v>79135.333303177889</v>
      </c>
      <c r="V181" s="184">
        <f t="shared" ref="V181:V199" si="404">Q181-V$147</f>
        <v>-4458.7469851320575</v>
      </c>
      <c r="W181" s="184">
        <f t="shared" ref="W181:W199" si="405">R181-W$147</f>
        <v>-8480.0204601001678</v>
      </c>
      <c r="Y181" s="182">
        <f t="shared" si="387"/>
        <v>10021790.248823097</v>
      </c>
      <c r="Z181" s="183">
        <f t="shared" si="388"/>
        <v>72479.333303177889</v>
      </c>
      <c r="AA181" s="184">
        <f t="shared" si="389"/>
        <v>-9488.7469851320566</v>
      </c>
      <c r="AB181" s="184">
        <f t="shared" si="390"/>
        <v>-13417.020460100168</v>
      </c>
      <c r="AC181" s="101"/>
      <c r="AD181" s="182">
        <f t="shared" si="391"/>
        <v>8279630.248823097</v>
      </c>
      <c r="AE181" s="184">
        <f t="shared" si="385"/>
        <v>-163238.6666968221</v>
      </c>
      <c r="AF181" s="184">
        <f t="shared" si="385"/>
        <v>-203458.74698513205</v>
      </c>
      <c r="AG181" s="184">
        <f t="shared" si="385"/>
        <v>-205007.02046010018</v>
      </c>
    </row>
    <row r="182" spans="13:33" x14ac:dyDescent="0.3">
      <c r="M182" s="210"/>
      <c r="N182" s="168"/>
      <c r="O182" s="182">
        <f t="shared" si="402"/>
        <v>10443190.304471137</v>
      </c>
      <c r="P182" s="183">
        <f t="shared" si="402"/>
        <v>92346.356103613492</v>
      </c>
      <c r="Q182" s="184">
        <f t="shared" si="402"/>
        <v>4529.9782158199068</v>
      </c>
      <c r="R182" s="184">
        <f t="shared" si="402"/>
        <v>278.52240677804554</v>
      </c>
      <c r="T182" s="182">
        <f t="shared" ref="T182:T199" si="406">O182-T$147</f>
        <v>10384094.304471137</v>
      </c>
      <c r="U182" s="183">
        <f t="shared" si="403"/>
        <v>82165.356103613492</v>
      </c>
      <c r="V182" s="184">
        <f t="shared" si="404"/>
        <v>-4295.0217841800932</v>
      </c>
      <c r="W182" s="184">
        <f t="shared" si="405"/>
        <v>-8469.4775932219545</v>
      </c>
      <c r="Y182" s="182">
        <f t="shared" si="387"/>
        <v>10318750.304471137</v>
      </c>
      <c r="Z182" s="183">
        <f t="shared" si="388"/>
        <v>75509.356103613492</v>
      </c>
      <c r="AA182" s="184">
        <f t="shared" si="389"/>
        <v>-9325.0217841800932</v>
      </c>
      <c r="AB182" s="184">
        <f t="shared" si="390"/>
        <v>-13406.477593221955</v>
      </c>
      <c r="AC182" s="101"/>
      <c r="AD182" s="182">
        <f t="shared" si="391"/>
        <v>8576590.304471137</v>
      </c>
      <c r="AE182" s="184">
        <f t="shared" si="385"/>
        <v>-160208.64389638649</v>
      </c>
      <c r="AF182" s="184">
        <f t="shared" si="385"/>
        <v>-203295.02178418011</v>
      </c>
      <c r="AG182" s="184">
        <f t="shared" si="385"/>
        <v>-204996.47759322196</v>
      </c>
    </row>
    <row r="183" spans="13:33" x14ac:dyDescent="0.3">
      <c r="M183" s="111"/>
      <c r="N183" s="8"/>
      <c r="O183" s="194">
        <f t="shared" si="402"/>
        <v>10539945.861226724</v>
      </c>
      <c r="P183" s="193">
        <f t="shared" si="402"/>
        <v>93333.598453088765</v>
      </c>
      <c r="Q183" s="197">
        <f t="shared" si="402"/>
        <v>4583.3231781194945</v>
      </c>
      <c r="R183" s="197">
        <f t="shared" si="402"/>
        <v>281.95748477995232</v>
      </c>
      <c r="T183" s="194">
        <f t="shared" si="406"/>
        <v>10480849.861226724</v>
      </c>
      <c r="U183" s="193">
        <f t="shared" si="403"/>
        <v>83152.598453088765</v>
      </c>
      <c r="V183" s="197">
        <f t="shared" si="404"/>
        <v>-4241.6768218805055</v>
      </c>
      <c r="W183" s="197">
        <f t="shared" si="405"/>
        <v>-8466.0425152200478</v>
      </c>
      <c r="Y183" s="194">
        <f t="shared" si="387"/>
        <v>10415505.861226724</v>
      </c>
      <c r="Z183" s="193">
        <f t="shared" si="388"/>
        <v>76496.598453088765</v>
      </c>
      <c r="AA183" s="197">
        <f t="shared" si="389"/>
        <v>-9271.6768218805046</v>
      </c>
      <c r="AB183" s="197">
        <f t="shared" si="390"/>
        <v>-13403.042515220048</v>
      </c>
      <c r="AC183" s="208"/>
      <c r="AD183" s="194">
        <f t="shared" si="391"/>
        <v>8673345.8612267245</v>
      </c>
      <c r="AE183" s="197">
        <f t="shared" si="385"/>
        <v>-159221.40154691122</v>
      </c>
      <c r="AF183" s="197">
        <f t="shared" si="385"/>
        <v>-203241.67682188051</v>
      </c>
      <c r="AG183" s="197">
        <f t="shared" si="385"/>
        <v>-204993.04251522003</v>
      </c>
    </row>
    <row r="184" spans="13:33" s="217" customFormat="1" x14ac:dyDescent="0.3">
      <c r="M184" s="237"/>
      <c r="N184" s="207"/>
      <c r="O184" s="182">
        <f>O116*(O133+O137)</f>
        <v>2337188.1060459511</v>
      </c>
      <c r="P184" s="183">
        <f t="shared" ref="P184:R184" si="407">P116*(P133+P137)</f>
        <v>20400.577170017041</v>
      </c>
      <c r="Q184" s="184">
        <f t="shared" si="407"/>
        <v>990.78027881786102</v>
      </c>
      <c r="R184" s="184">
        <f t="shared" si="407"/>
        <v>60.603181221139401</v>
      </c>
      <c r="T184" s="182">
        <f t="shared" ref="T184" si="408">O184-T$147</f>
        <v>2278092.1060459511</v>
      </c>
      <c r="U184" s="183">
        <f t="shared" ref="U184" si="409">P184-U$147</f>
        <v>10219.577170017041</v>
      </c>
      <c r="V184" s="184">
        <f t="shared" ref="V184" si="410">Q184-V$147</f>
        <v>-7834.2197211821385</v>
      </c>
      <c r="W184" s="184">
        <f t="shared" ref="W184" si="411">R184-W$147</f>
        <v>-8687.3968187788614</v>
      </c>
      <c r="Y184" s="182">
        <f t="shared" ref="Y184" si="412">O184-Y$175</f>
        <v>2212748.1060459511</v>
      </c>
      <c r="Z184" s="184">
        <f t="shared" ref="Z184" si="413">P184-Z$175</f>
        <v>3563.5771700170408</v>
      </c>
      <c r="AA184" s="184">
        <f t="shared" ref="AA184" si="414">Q184-AA$175</f>
        <v>-12864.219721182139</v>
      </c>
      <c r="AB184" s="184">
        <f t="shared" ref="AB184" si="415">R184-AB$175</f>
        <v>-13624.396818778861</v>
      </c>
      <c r="AC184" s="208"/>
      <c r="AD184" s="195">
        <f t="shared" ref="AD184" si="416">O184-AD$175</f>
        <v>470588.10604595114</v>
      </c>
      <c r="AE184" s="184">
        <f t="shared" ref="AE184" si="417">P184-AE$175</f>
        <v>-232154.42282998297</v>
      </c>
      <c r="AF184" s="184">
        <f t="shared" ref="AF184" si="418">Q184-AF$175</f>
        <v>-206834.21972118213</v>
      </c>
      <c r="AG184" s="184">
        <f t="shared" ref="AG184" si="419">R184-AG$175</f>
        <v>-205214.39681877886</v>
      </c>
    </row>
    <row r="185" spans="13:33" ht="28.8" x14ac:dyDescent="0.3">
      <c r="M185" s="210" t="s">
        <v>921</v>
      </c>
      <c r="N185" s="168"/>
      <c r="O185" s="182">
        <f t="shared" ref="O185:R187" si="420">O117*(O134+O138)</f>
        <v>2461049.2792002643</v>
      </c>
      <c r="P185" s="183">
        <f t="shared" si="420"/>
        <v>21664.390843298024</v>
      </c>
      <c r="Q185" s="184">
        <f t="shared" si="420"/>
        <v>1059.0695826455496</v>
      </c>
      <c r="R185" s="184">
        <f t="shared" si="420"/>
        <v>65.000580248747994</v>
      </c>
      <c r="T185" s="182">
        <f t="shared" si="406"/>
        <v>2401953.2792002643</v>
      </c>
      <c r="U185" s="183">
        <f t="shared" si="403"/>
        <v>11483.390843298024</v>
      </c>
      <c r="V185" s="184">
        <f t="shared" si="404"/>
        <v>-7765.9304173544506</v>
      </c>
      <c r="W185" s="184">
        <f t="shared" si="405"/>
        <v>-8682.9994197512515</v>
      </c>
      <c r="Y185" s="182">
        <f t="shared" si="387"/>
        <v>2336609.2792002643</v>
      </c>
      <c r="Z185" s="184">
        <f t="shared" si="388"/>
        <v>4827.3908432980243</v>
      </c>
      <c r="AA185" s="184">
        <f t="shared" si="389"/>
        <v>-12795.93041735445</v>
      </c>
      <c r="AB185" s="184">
        <f t="shared" si="390"/>
        <v>-13619.999419751251</v>
      </c>
      <c r="AC185" s="101"/>
      <c r="AD185" s="195">
        <f t="shared" si="391"/>
        <v>594449.27920026425</v>
      </c>
      <c r="AE185" s="184">
        <f t="shared" si="385"/>
        <v>-230890.60915670198</v>
      </c>
      <c r="AF185" s="184">
        <f t="shared" si="385"/>
        <v>-206765.93041735445</v>
      </c>
      <c r="AG185" s="184">
        <f t="shared" si="385"/>
        <v>-205209.99941975126</v>
      </c>
    </row>
    <row r="186" spans="13:33" x14ac:dyDescent="0.3">
      <c r="M186" s="210"/>
      <c r="N186" s="168"/>
      <c r="O186" s="182">
        <f t="shared" si="420"/>
        <v>2533079.3152807732</v>
      </c>
      <c r="P186" s="183">
        <f t="shared" si="420"/>
        <v>22399.347102529122</v>
      </c>
      <c r="Q186" s="184">
        <f t="shared" si="420"/>
        <v>1098.7824393330361</v>
      </c>
      <c r="R186" s="184">
        <f t="shared" si="420"/>
        <v>67.55783691403424</v>
      </c>
      <c r="T186" s="182">
        <f t="shared" si="406"/>
        <v>2473983.3152807732</v>
      </c>
      <c r="U186" s="183">
        <f t="shared" si="403"/>
        <v>12218.347102529122</v>
      </c>
      <c r="V186" s="184">
        <f t="shared" si="404"/>
        <v>-7726.2175606669643</v>
      </c>
      <c r="W186" s="184">
        <f t="shared" si="405"/>
        <v>-8680.4421630859651</v>
      </c>
      <c r="Y186" s="182">
        <f t="shared" si="387"/>
        <v>2408639.3152807732</v>
      </c>
      <c r="Z186" s="184">
        <f t="shared" si="388"/>
        <v>5562.3471025291219</v>
      </c>
      <c r="AA186" s="184">
        <f t="shared" si="389"/>
        <v>-12756.217560666964</v>
      </c>
      <c r="AB186" s="184">
        <f t="shared" si="390"/>
        <v>-13617.442163085965</v>
      </c>
      <c r="AC186" s="101"/>
      <c r="AD186" s="195">
        <f t="shared" si="391"/>
        <v>666479.31528077321</v>
      </c>
      <c r="AE186" s="184">
        <f t="shared" si="385"/>
        <v>-230155.65289747086</v>
      </c>
      <c r="AF186" s="184">
        <f t="shared" si="385"/>
        <v>-206726.21756066696</v>
      </c>
      <c r="AG186" s="184">
        <f t="shared" si="385"/>
        <v>-205207.44216308597</v>
      </c>
    </row>
    <row r="187" spans="13:33" x14ac:dyDescent="0.3">
      <c r="M187" s="111"/>
      <c r="N187" s="8"/>
      <c r="O187" s="194">
        <f t="shared" si="420"/>
        <v>2556548.1492587505</v>
      </c>
      <c r="P187" s="193">
        <f t="shared" si="420"/>
        <v>22638.810628684951</v>
      </c>
      <c r="Q187" s="197">
        <f t="shared" si="420"/>
        <v>1111.7216865013718</v>
      </c>
      <c r="R187" s="197">
        <f t="shared" si="420"/>
        <v>68.391042551326962</v>
      </c>
      <c r="T187" s="194">
        <f t="shared" si="406"/>
        <v>2497452.1492587505</v>
      </c>
      <c r="U187" s="193">
        <f t="shared" si="403"/>
        <v>12457.810628684951</v>
      </c>
      <c r="V187" s="197">
        <f t="shared" si="404"/>
        <v>-7713.2783134986284</v>
      </c>
      <c r="W187" s="197">
        <f t="shared" si="405"/>
        <v>-8679.6089574486723</v>
      </c>
      <c r="Y187" s="194">
        <f t="shared" si="387"/>
        <v>2432108.1492587505</v>
      </c>
      <c r="Z187" s="197">
        <f t="shared" si="388"/>
        <v>5801.8106286849506</v>
      </c>
      <c r="AA187" s="197">
        <f t="shared" si="389"/>
        <v>-12743.278313498628</v>
      </c>
      <c r="AB187" s="197">
        <f t="shared" si="390"/>
        <v>-13616.608957448672</v>
      </c>
      <c r="AC187" s="101"/>
      <c r="AD187" s="196">
        <f t="shared" si="391"/>
        <v>689948.14925875049</v>
      </c>
      <c r="AE187" s="197">
        <f t="shared" si="385"/>
        <v>-229916.18937131506</v>
      </c>
      <c r="AF187" s="197">
        <f t="shared" si="385"/>
        <v>-206713.27831349862</v>
      </c>
      <c r="AG187" s="197">
        <f t="shared" si="385"/>
        <v>-205206.60895744868</v>
      </c>
    </row>
    <row r="188" spans="13:33" s="217" customFormat="1" x14ac:dyDescent="0.3">
      <c r="M188" s="237"/>
      <c r="N188" s="207"/>
      <c r="O188" s="195">
        <f>O120*(O133+O137)</f>
        <v>298701.14601179736</v>
      </c>
      <c r="P188" s="184">
        <f t="shared" ref="P188:R188" si="421">P120*(P133+P137)</f>
        <v>2607.2680090330709</v>
      </c>
      <c r="Q188" s="184">
        <f t="shared" si="421"/>
        <v>126.62532551967587</v>
      </c>
      <c r="R188" s="184">
        <f t="shared" si="421"/>
        <v>7.7453071217875999</v>
      </c>
      <c r="T188" s="195">
        <f t="shared" ref="T188" si="422">O188-T$147</f>
        <v>239605.14601179736</v>
      </c>
      <c r="U188" s="184">
        <f t="shared" ref="U188" si="423">P188-U$147</f>
        <v>-7573.7319909669295</v>
      </c>
      <c r="V188" s="184">
        <f t="shared" ref="V188" si="424">Q188-V$147</f>
        <v>-8698.3746744803248</v>
      </c>
      <c r="W188" s="184">
        <f t="shared" ref="W188" si="425">R188-W$147</f>
        <v>-8740.2546928782122</v>
      </c>
      <c r="Y188" s="195">
        <f t="shared" ref="Y188" si="426">O188-Y$175</f>
        <v>174261.14601179736</v>
      </c>
      <c r="Z188" s="184">
        <f t="shared" ref="Z188" si="427">P188-Z$175</f>
        <v>-14229.73199096693</v>
      </c>
      <c r="AA188" s="184">
        <f t="shared" ref="AA188" si="428">Q188-AA$175</f>
        <v>-13728.374674480325</v>
      </c>
      <c r="AB188" s="184">
        <f t="shared" ref="AB188" si="429">R188-AB$175</f>
        <v>-13677.254692878212</v>
      </c>
      <c r="AC188" s="101"/>
      <c r="AD188" s="184">
        <f t="shared" ref="AD188" si="430">O188-AD$175</f>
        <v>-1567898.8539882028</v>
      </c>
      <c r="AE188" s="184">
        <f t="shared" ref="AE188" si="431">P188-AE$175</f>
        <v>-249947.73199096692</v>
      </c>
      <c r="AF188" s="184">
        <f t="shared" ref="AF188" si="432">Q188-AF$175</f>
        <v>-207698.37467448032</v>
      </c>
      <c r="AG188" s="184">
        <f t="shared" ref="AG188" si="433">R188-AG$175</f>
        <v>-205267.25469287822</v>
      </c>
    </row>
    <row r="189" spans="13:33" ht="28.8" x14ac:dyDescent="0.3">
      <c r="M189" s="210" t="s">
        <v>922</v>
      </c>
      <c r="N189" s="168"/>
      <c r="O189" s="195">
        <f t="shared" ref="O189:R191" si="434">O121*(O134+O138)</f>
        <v>314531.05472639861</v>
      </c>
      <c r="P189" s="184">
        <f t="shared" si="434"/>
        <v>2768.78799605417</v>
      </c>
      <c r="Q189" s="184">
        <f t="shared" si="434"/>
        <v>135.35294708377319</v>
      </c>
      <c r="R189" s="184">
        <f t="shared" si="434"/>
        <v>8.3073107215919997</v>
      </c>
      <c r="T189" s="195">
        <f t="shared" si="406"/>
        <v>255435.05472639861</v>
      </c>
      <c r="U189" s="184">
        <f t="shared" si="403"/>
        <v>-7412.2120039458296</v>
      </c>
      <c r="V189" s="184">
        <f t="shared" si="404"/>
        <v>-8689.647052916227</v>
      </c>
      <c r="W189" s="184">
        <f t="shared" si="405"/>
        <v>-8739.6926892784086</v>
      </c>
      <c r="Y189" s="195">
        <f t="shared" si="387"/>
        <v>190091.05472639861</v>
      </c>
      <c r="Z189" s="184">
        <f t="shared" si="388"/>
        <v>-14068.21200394583</v>
      </c>
      <c r="AA189" s="184">
        <f t="shared" si="389"/>
        <v>-13719.647052916227</v>
      </c>
      <c r="AB189" s="184">
        <f t="shared" si="390"/>
        <v>-13676.692689278409</v>
      </c>
      <c r="AC189" s="101"/>
      <c r="AD189" s="184">
        <f t="shared" si="391"/>
        <v>-1552068.9452736015</v>
      </c>
      <c r="AE189" s="184">
        <f t="shared" si="385"/>
        <v>-249786.21200394584</v>
      </c>
      <c r="AF189" s="184">
        <f t="shared" si="385"/>
        <v>-207689.64705291623</v>
      </c>
      <c r="AG189" s="184">
        <f t="shared" si="385"/>
        <v>-205266.6926892784</v>
      </c>
    </row>
    <row r="190" spans="13:33" x14ac:dyDescent="0.3">
      <c r="M190" s="210"/>
      <c r="N190" s="168"/>
      <c r="O190" s="195">
        <f t="shared" si="434"/>
        <v>323736.75548658211</v>
      </c>
      <c r="P190" s="184">
        <f t="shared" si="434"/>
        <v>2862.7180808141329</v>
      </c>
      <c r="Q190" s="184">
        <f t="shared" si="434"/>
        <v>140.42839470104821</v>
      </c>
      <c r="R190" s="184">
        <f t="shared" si="434"/>
        <v>8.6341374304013296</v>
      </c>
      <c r="T190" s="195">
        <f t="shared" si="406"/>
        <v>264640.75548658211</v>
      </c>
      <c r="U190" s="184">
        <f t="shared" si="403"/>
        <v>-7318.2819191858671</v>
      </c>
      <c r="V190" s="184">
        <f t="shared" si="404"/>
        <v>-8684.5716052989519</v>
      </c>
      <c r="W190" s="184">
        <f t="shared" si="405"/>
        <v>-8739.3658625695989</v>
      </c>
      <c r="Y190" s="195">
        <f t="shared" si="387"/>
        <v>199296.75548658211</v>
      </c>
      <c r="Z190" s="184">
        <f t="shared" si="388"/>
        <v>-13974.281919185867</v>
      </c>
      <c r="AA190" s="184">
        <f t="shared" si="389"/>
        <v>-13714.571605298952</v>
      </c>
      <c r="AB190" s="184">
        <f t="shared" si="390"/>
        <v>-13676.365862569599</v>
      </c>
      <c r="AC190" s="101"/>
      <c r="AD190" s="184">
        <f t="shared" si="391"/>
        <v>-1542863.2445134178</v>
      </c>
      <c r="AE190" s="184">
        <f t="shared" si="385"/>
        <v>-249692.28191918586</v>
      </c>
      <c r="AF190" s="184">
        <f t="shared" si="385"/>
        <v>-207684.57160529896</v>
      </c>
      <c r="AG190" s="184">
        <f t="shared" si="385"/>
        <v>-205266.3658625696</v>
      </c>
    </row>
    <row r="191" spans="13:33" x14ac:dyDescent="0.3">
      <c r="M191" s="111"/>
      <c r="N191" s="8"/>
      <c r="O191" s="196">
        <f t="shared" si="434"/>
        <v>326736.1578824133</v>
      </c>
      <c r="P191" s="197">
        <f t="shared" si="434"/>
        <v>2893.3223909703152</v>
      </c>
      <c r="Q191" s="197">
        <f t="shared" si="434"/>
        <v>142.08207758079317</v>
      </c>
      <c r="R191" s="197">
        <f t="shared" si="434"/>
        <v>8.7406241432504199</v>
      </c>
      <c r="T191" s="196">
        <f t="shared" si="406"/>
        <v>267640.1578824133</v>
      </c>
      <c r="U191" s="197">
        <f t="shared" si="403"/>
        <v>-7287.6776090296844</v>
      </c>
      <c r="V191" s="197">
        <f t="shared" si="404"/>
        <v>-8682.9179224192067</v>
      </c>
      <c r="W191" s="197">
        <f t="shared" si="405"/>
        <v>-8739.2593758567491</v>
      </c>
      <c r="Y191" s="196">
        <f t="shared" si="387"/>
        <v>202296.1578824133</v>
      </c>
      <c r="Z191" s="197">
        <f t="shared" si="388"/>
        <v>-13943.677609029684</v>
      </c>
      <c r="AA191" s="197">
        <f t="shared" si="389"/>
        <v>-13712.917922419207</v>
      </c>
      <c r="AB191" s="197">
        <f t="shared" si="390"/>
        <v>-13676.259375856749</v>
      </c>
      <c r="AC191" s="101"/>
      <c r="AD191" s="197">
        <f t="shared" si="391"/>
        <v>-1539863.8421175866</v>
      </c>
      <c r="AE191" s="197">
        <f t="shared" si="385"/>
        <v>-249661.67760902969</v>
      </c>
      <c r="AF191" s="197">
        <f t="shared" si="385"/>
        <v>-207682.9179224192</v>
      </c>
      <c r="AG191" s="197">
        <f t="shared" si="385"/>
        <v>-205266.25937585675</v>
      </c>
    </row>
    <row r="192" spans="13:33" s="217" customFormat="1" x14ac:dyDescent="0.3">
      <c r="M192" s="237"/>
      <c r="N192" s="207"/>
      <c r="O192" s="183">
        <f>O124*(O133+O137)</f>
        <v>21759.68613330974</v>
      </c>
      <c r="P192" s="184">
        <f t="shared" ref="P192:R192" si="435">P124*(P133+P137)</f>
        <v>189.9334311216144</v>
      </c>
      <c r="Q192" s="184">
        <f t="shared" si="435"/>
        <v>9.2243614616982406</v>
      </c>
      <c r="R192" s="184">
        <f t="shared" si="435"/>
        <v>0.56422767112359984</v>
      </c>
      <c r="T192" s="184">
        <f t="shared" ref="T192" si="436">O192-T$147</f>
        <v>-37336.31386669026</v>
      </c>
      <c r="U192" s="184">
        <f t="shared" ref="U192" si="437">P192-U$147</f>
        <v>-9991.0665688783847</v>
      </c>
      <c r="V192" s="184">
        <f t="shared" ref="V192" si="438">Q192-V$147</f>
        <v>-8815.7756385383018</v>
      </c>
      <c r="W192" s="184">
        <f t="shared" ref="W192" si="439">R192-W$147</f>
        <v>-8747.4357723288758</v>
      </c>
      <c r="Y192" s="184">
        <f t="shared" ref="Y192" si="440">O192-Y$175</f>
        <v>-102680.31386669027</v>
      </c>
      <c r="Z192" s="184">
        <f t="shared" ref="Z192" si="441">P192-Z$175</f>
        <v>-16647.066568878385</v>
      </c>
      <c r="AA192" s="184">
        <f t="shared" ref="AA192" si="442">Q192-AA$175</f>
        <v>-13845.775638538302</v>
      </c>
      <c r="AB192" s="184">
        <f t="shared" ref="AB192" si="443">R192-AB$175</f>
        <v>-13684.435772328876</v>
      </c>
      <c r="AC192" s="101"/>
      <c r="AD192" s="184">
        <f t="shared" ref="AD192" si="444">O192-AD$175</f>
        <v>-1844840.3138666903</v>
      </c>
      <c r="AE192" s="184">
        <f t="shared" ref="AE192" si="445">P192-AE$175</f>
        <v>-252365.06656887839</v>
      </c>
      <c r="AF192" s="184">
        <f t="shared" ref="AF192" si="446">Q192-AF$175</f>
        <v>-207815.7756385383</v>
      </c>
      <c r="AG192" s="184">
        <f t="shared" ref="AG192" si="447">R192-AG$175</f>
        <v>-205274.43577232887</v>
      </c>
    </row>
    <row r="193" spans="13:33" ht="28.8" x14ac:dyDescent="0.3">
      <c r="M193" s="210" t="s">
        <v>923</v>
      </c>
      <c r="N193" s="168"/>
      <c r="O193" s="183">
        <f t="shared" ref="O193:R195" si="448">O125*(O134+O138)</f>
        <v>22912.858291327047</v>
      </c>
      <c r="P193" s="184">
        <f t="shared" si="448"/>
        <v>201.69978779202555</v>
      </c>
      <c r="Q193" s="184">
        <f t="shared" si="448"/>
        <v>9.8601484630563245</v>
      </c>
      <c r="R193" s="184">
        <f t="shared" si="448"/>
        <v>0.60516833071199982</v>
      </c>
      <c r="T193" s="184">
        <f t="shared" si="406"/>
        <v>-36183.141708672949</v>
      </c>
      <c r="U193" s="184">
        <f t="shared" si="403"/>
        <v>-9979.3002122079743</v>
      </c>
      <c r="V193" s="184">
        <f t="shared" si="404"/>
        <v>-8815.1398515369438</v>
      </c>
      <c r="W193" s="184">
        <f t="shared" si="405"/>
        <v>-8747.3948316692877</v>
      </c>
      <c r="Y193" s="184">
        <f t="shared" si="387"/>
        <v>-101527.14170867295</v>
      </c>
      <c r="Z193" s="184">
        <f t="shared" si="388"/>
        <v>-16635.300212207974</v>
      </c>
      <c r="AA193" s="184">
        <f t="shared" si="389"/>
        <v>-13845.139851536944</v>
      </c>
      <c r="AB193" s="184">
        <f t="shared" si="390"/>
        <v>-13684.394831669288</v>
      </c>
      <c r="AC193" s="101"/>
      <c r="AD193" s="184">
        <f t="shared" si="391"/>
        <v>-1843687.141708673</v>
      </c>
      <c r="AE193" s="184">
        <f t="shared" si="385"/>
        <v>-252353.30021220798</v>
      </c>
      <c r="AF193" s="184">
        <f t="shared" si="385"/>
        <v>-207815.13985153695</v>
      </c>
      <c r="AG193" s="184">
        <f t="shared" si="385"/>
        <v>-205274.39483166928</v>
      </c>
    </row>
    <row r="194" spans="13:33" x14ac:dyDescent="0.3">
      <c r="M194" s="210"/>
      <c r="N194" s="168"/>
      <c r="O194" s="183">
        <f t="shared" si="448"/>
        <v>23583.472253989421</v>
      </c>
      <c r="P194" s="184">
        <f t="shared" si="448"/>
        <v>208.54237674804935</v>
      </c>
      <c r="Q194" s="184">
        <f t="shared" si="448"/>
        <v>10.229883057692254</v>
      </c>
      <c r="R194" s="184">
        <f t="shared" si="448"/>
        <v>0.62897689890340802</v>
      </c>
      <c r="T194" s="184">
        <f t="shared" si="406"/>
        <v>-35512.527746010579</v>
      </c>
      <c r="U194" s="184">
        <f t="shared" si="403"/>
        <v>-9972.4576232519503</v>
      </c>
      <c r="V194" s="184">
        <f t="shared" si="404"/>
        <v>-8814.7701169423071</v>
      </c>
      <c r="W194" s="184">
        <f t="shared" si="405"/>
        <v>-8747.3710231010973</v>
      </c>
      <c r="Y194" s="184">
        <f t="shared" si="387"/>
        <v>-100856.52774601057</v>
      </c>
      <c r="Z194" s="184">
        <f t="shared" si="388"/>
        <v>-16628.45762325195</v>
      </c>
      <c r="AA194" s="184">
        <f t="shared" si="389"/>
        <v>-13844.770116942307</v>
      </c>
      <c r="AB194" s="184">
        <f t="shared" si="390"/>
        <v>-13684.371023101097</v>
      </c>
      <c r="AC194" s="101"/>
      <c r="AD194" s="184">
        <f t="shared" si="391"/>
        <v>-1843016.5277460106</v>
      </c>
      <c r="AE194" s="184">
        <f t="shared" si="385"/>
        <v>-252346.45762325195</v>
      </c>
      <c r="AF194" s="184">
        <f t="shared" si="385"/>
        <v>-207814.77011694229</v>
      </c>
      <c r="AG194" s="184">
        <f t="shared" si="385"/>
        <v>-205274.37102310109</v>
      </c>
    </row>
    <row r="195" spans="13:33" x14ac:dyDescent="0.3">
      <c r="M195" s="111"/>
      <c r="N195" s="8"/>
      <c r="O195" s="193">
        <f t="shared" si="448"/>
        <v>23801.971766268514</v>
      </c>
      <c r="P195" s="197">
        <f t="shared" si="448"/>
        <v>210.77182980578451</v>
      </c>
      <c r="Q195" s="197">
        <f t="shared" si="448"/>
        <v>10.350350022441887</v>
      </c>
      <c r="R195" s="197">
        <f t="shared" si="448"/>
        <v>0.63673420911095768</v>
      </c>
      <c r="T195" s="197">
        <f t="shared" si="406"/>
        <v>-35294.028233731486</v>
      </c>
      <c r="U195" s="197">
        <f t="shared" si="403"/>
        <v>-9970.2281701942156</v>
      </c>
      <c r="V195" s="197">
        <f t="shared" si="404"/>
        <v>-8814.6496499775585</v>
      </c>
      <c r="W195" s="197">
        <f t="shared" si="405"/>
        <v>-8747.3632657908893</v>
      </c>
      <c r="Y195" s="197">
        <f t="shared" si="387"/>
        <v>-100638.02823373149</v>
      </c>
      <c r="Z195" s="197">
        <f t="shared" si="388"/>
        <v>-16626.228170194216</v>
      </c>
      <c r="AA195" s="197">
        <f t="shared" si="389"/>
        <v>-13844.649649977559</v>
      </c>
      <c r="AB195" s="197">
        <f t="shared" si="390"/>
        <v>-13684.363265790889</v>
      </c>
      <c r="AC195" s="101"/>
      <c r="AD195" s="197">
        <f t="shared" si="391"/>
        <v>-1842798.0282337314</v>
      </c>
      <c r="AE195" s="197">
        <f t="shared" si="385"/>
        <v>-252344.22817019423</v>
      </c>
      <c r="AF195" s="197">
        <f t="shared" si="385"/>
        <v>-207814.64964997757</v>
      </c>
      <c r="AG195" s="197">
        <f t="shared" si="385"/>
        <v>-205274.36326579089</v>
      </c>
    </row>
    <row r="196" spans="13:33" s="217" customFormat="1" x14ac:dyDescent="0.3">
      <c r="M196" s="237"/>
      <c r="N196" s="207"/>
      <c r="O196" s="184">
        <f>O128*(O133+O137)</f>
        <v>2967.2299272695104</v>
      </c>
      <c r="P196" s="184">
        <f t="shared" ref="P196:R196" si="449">P128*(P133+P137)</f>
        <v>25.9000133347656</v>
      </c>
      <c r="Q196" s="184">
        <f t="shared" si="449"/>
        <v>1.2578674720497602</v>
      </c>
      <c r="R196" s="184">
        <f t="shared" si="449"/>
        <v>7.6940136971399994E-2</v>
      </c>
      <c r="T196" s="184">
        <f t="shared" ref="T196" si="450">O196-T$147</f>
        <v>-56128.770072730491</v>
      </c>
      <c r="U196" s="184">
        <f t="shared" ref="U196" si="451">P196-U$147</f>
        <v>-10155.099986665235</v>
      </c>
      <c r="V196" s="184">
        <f t="shared" ref="V196" si="452">Q196-V$147</f>
        <v>-8823.7421325279502</v>
      </c>
      <c r="W196" s="184">
        <f t="shared" ref="W196" si="453">R196-W$147</f>
        <v>-8747.9230598630293</v>
      </c>
      <c r="Y196" s="184">
        <f t="shared" ref="Y196" si="454">O196-Y$175</f>
        <v>-121472.77007273049</v>
      </c>
      <c r="Z196" s="184">
        <f t="shared" ref="Z196" si="455">P196-Z$175</f>
        <v>-16811.099986665235</v>
      </c>
      <c r="AA196" s="184">
        <f t="shared" ref="AA196" si="456">Q196-AA$175</f>
        <v>-13853.74213252795</v>
      </c>
      <c r="AB196" s="184">
        <f t="shared" ref="AB196" si="457">R196-AB$175</f>
        <v>-13684.923059863029</v>
      </c>
      <c r="AC196" s="101"/>
      <c r="AD196" s="184">
        <f t="shared" ref="AD196" si="458">O196-AD$175</f>
        <v>-1863632.7700727305</v>
      </c>
      <c r="AE196" s="184">
        <f t="shared" ref="AE196" si="459">P196-AE$175</f>
        <v>-252529.09998666524</v>
      </c>
      <c r="AF196" s="184">
        <f t="shared" ref="AF196" si="460">Q196-AF$175</f>
        <v>-207823.74213252796</v>
      </c>
      <c r="AG196" s="184">
        <f t="shared" ref="AG196" si="461">R196-AG$175</f>
        <v>-205274.92305986304</v>
      </c>
    </row>
    <row r="197" spans="13:33" x14ac:dyDescent="0.3">
      <c r="M197" s="210" t="s">
        <v>827</v>
      </c>
      <c r="N197" s="168"/>
      <c r="O197" s="184">
        <f t="shared" ref="O197:R199" si="462">O129*(O134+O138)</f>
        <v>3124.4806760900528</v>
      </c>
      <c r="P197" s="184">
        <f t="shared" si="462"/>
        <v>27.504516517094402</v>
      </c>
      <c r="Q197" s="184">
        <f t="shared" si="462"/>
        <v>1.3445656995076805</v>
      </c>
      <c r="R197" s="184">
        <f t="shared" si="462"/>
        <v>8.2522954188E-2</v>
      </c>
      <c r="T197" s="184">
        <f t="shared" si="406"/>
        <v>-55971.519323909946</v>
      </c>
      <c r="U197" s="184">
        <f t="shared" si="403"/>
        <v>-10153.495483482906</v>
      </c>
      <c r="V197" s="184">
        <f t="shared" si="404"/>
        <v>-8823.6554343004918</v>
      </c>
      <c r="W197" s="184">
        <f t="shared" si="405"/>
        <v>-8747.9174770458121</v>
      </c>
      <c r="Y197" s="184">
        <f t="shared" si="387"/>
        <v>-121315.51932390995</v>
      </c>
      <c r="Z197" s="184">
        <f t="shared" si="388"/>
        <v>-16809.495483482904</v>
      </c>
      <c r="AA197" s="184">
        <f t="shared" si="389"/>
        <v>-13853.655434300492</v>
      </c>
      <c r="AB197" s="184">
        <f t="shared" si="390"/>
        <v>-13684.917477045812</v>
      </c>
      <c r="AC197" s="101"/>
      <c r="AD197" s="184">
        <f t="shared" si="391"/>
        <v>-1863475.5193239099</v>
      </c>
      <c r="AE197" s="184">
        <f t="shared" si="385"/>
        <v>-252527.4954834829</v>
      </c>
      <c r="AF197" s="184">
        <f t="shared" si="385"/>
        <v>-207823.65543430048</v>
      </c>
      <c r="AG197" s="184">
        <f t="shared" si="385"/>
        <v>-205274.91747704582</v>
      </c>
    </row>
    <row r="198" spans="13:33" x14ac:dyDescent="0.3">
      <c r="M198" s="209" t="s">
        <v>925</v>
      </c>
      <c r="N198" s="168"/>
      <c r="O198" s="184">
        <f t="shared" si="462"/>
        <v>3215.9280346349215</v>
      </c>
      <c r="P198" s="184">
        <f t="shared" si="462"/>
        <v>28.43759682927946</v>
      </c>
      <c r="Q198" s="184">
        <f t="shared" si="462"/>
        <v>1.3949840533216709</v>
      </c>
      <c r="R198" s="184">
        <f t="shared" si="462"/>
        <v>8.5769577123192026E-2</v>
      </c>
      <c r="T198" s="184">
        <f t="shared" si="406"/>
        <v>-55880.071965365081</v>
      </c>
      <c r="U198" s="184">
        <f t="shared" si="403"/>
        <v>-10152.562403170721</v>
      </c>
      <c r="V198" s="184">
        <f t="shared" si="404"/>
        <v>-8823.6050159466777</v>
      </c>
      <c r="W198" s="184">
        <f t="shared" si="405"/>
        <v>-8747.9142304228772</v>
      </c>
      <c r="Y198" s="184">
        <f t="shared" si="387"/>
        <v>-121224.07196536507</v>
      </c>
      <c r="Z198" s="184">
        <f t="shared" si="388"/>
        <v>-16808.562403170719</v>
      </c>
      <c r="AA198" s="184">
        <f t="shared" si="389"/>
        <v>-13853.605015946678</v>
      </c>
      <c r="AB198" s="184">
        <f t="shared" si="390"/>
        <v>-13684.914230422877</v>
      </c>
      <c r="AC198" s="101"/>
      <c r="AD198" s="184">
        <f t="shared" si="391"/>
        <v>-1863384.071965365</v>
      </c>
      <c r="AE198" s="184">
        <f t="shared" ref="AE198:AE199" si="463">P198-AE$175</f>
        <v>-252526.56240317071</v>
      </c>
      <c r="AF198" s="184">
        <f t="shared" ref="AF198:AF199" si="464">Q198-AF$175</f>
        <v>-207823.60501594667</v>
      </c>
      <c r="AG198" s="184">
        <f t="shared" ref="AG198:AG199" si="465">R198-AG$175</f>
        <v>-205274.91423042287</v>
      </c>
    </row>
    <row r="199" spans="13:33" x14ac:dyDescent="0.3">
      <c r="M199" s="8"/>
      <c r="N199" s="8"/>
      <c r="O199" s="197">
        <f t="shared" si="462"/>
        <v>3245.7234226729797</v>
      </c>
      <c r="P199" s="197">
        <f t="shared" si="462"/>
        <v>28.741613155334253</v>
      </c>
      <c r="Q199" s="197">
        <f t="shared" si="462"/>
        <v>1.4114113666966208</v>
      </c>
      <c r="R199" s="197">
        <f t="shared" si="462"/>
        <v>8.6827392151494251E-2</v>
      </c>
      <c r="T199" s="184">
        <f t="shared" si="406"/>
        <v>-55850.276577327022</v>
      </c>
      <c r="U199" s="184">
        <f t="shared" si="403"/>
        <v>-10152.258386844665</v>
      </c>
      <c r="V199" s="184">
        <f t="shared" si="404"/>
        <v>-8823.5885886333035</v>
      </c>
      <c r="W199" s="184">
        <f t="shared" si="405"/>
        <v>-8747.9131726078485</v>
      </c>
      <c r="Y199" s="184">
        <f t="shared" si="387"/>
        <v>-121194.27657732702</v>
      </c>
      <c r="Z199" s="184">
        <f t="shared" si="388"/>
        <v>-16808.258386844667</v>
      </c>
      <c r="AA199" s="184">
        <f t="shared" si="389"/>
        <v>-13853.588588633304</v>
      </c>
      <c r="AB199" s="184">
        <f t="shared" si="390"/>
        <v>-13684.913172607849</v>
      </c>
      <c r="AC199" s="101"/>
      <c r="AD199" s="184">
        <f t="shared" si="391"/>
        <v>-1863354.2765773269</v>
      </c>
      <c r="AE199" s="184">
        <f t="shared" si="463"/>
        <v>-252526.25838684465</v>
      </c>
      <c r="AF199" s="184">
        <f t="shared" si="464"/>
        <v>-207823.58858863331</v>
      </c>
      <c r="AG199" s="184">
        <f t="shared" si="465"/>
        <v>-205274.91317260783</v>
      </c>
    </row>
    <row r="200" spans="13:33" x14ac:dyDescent="0.3">
      <c r="O200" s="198"/>
    </row>
    <row r="201" spans="13:33" x14ac:dyDescent="0.3">
      <c r="O201" s="198"/>
    </row>
    <row r="202" spans="13:33" x14ac:dyDescent="0.3">
      <c r="M202" s="168"/>
      <c r="N202" s="1" t="s">
        <v>860</v>
      </c>
      <c r="O202" s="168"/>
      <c r="P202" s="168"/>
      <c r="Q202" s="168"/>
      <c r="R202" s="168"/>
      <c r="T202" s="178" t="s">
        <v>969</v>
      </c>
      <c r="U202" s="168"/>
      <c r="V202" s="168"/>
      <c r="W202" s="168"/>
      <c r="Y202" s="178" t="s">
        <v>968</v>
      </c>
      <c r="Z202" s="178"/>
      <c r="AA202" s="178"/>
      <c r="AB202" s="178"/>
      <c r="AC202" s="178"/>
      <c r="AD202" s="213" t="s">
        <v>970</v>
      </c>
      <c r="AE202" s="178"/>
      <c r="AF202" s="178"/>
      <c r="AG202" s="178"/>
    </row>
    <row r="203" spans="13:33" x14ac:dyDescent="0.3">
      <c r="M203" s="176" t="s">
        <v>823</v>
      </c>
      <c r="N203" s="8"/>
      <c r="O203" s="188" t="s">
        <v>828</v>
      </c>
      <c r="P203" s="188" t="s">
        <v>829</v>
      </c>
      <c r="Q203" s="188" t="s">
        <v>830</v>
      </c>
      <c r="R203" s="188" t="s">
        <v>831</v>
      </c>
      <c r="T203" s="170">
        <v>59096</v>
      </c>
      <c r="U203" s="170">
        <v>10181</v>
      </c>
      <c r="V203" s="170">
        <v>8825</v>
      </c>
      <c r="W203" s="170">
        <v>8748</v>
      </c>
      <c r="X203" s="8"/>
      <c r="Y203" s="170">
        <v>124440</v>
      </c>
      <c r="Z203" s="170">
        <v>16837</v>
      </c>
      <c r="AA203" s="170">
        <v>13855</v>
      </c>
      <c r="AB203" s="170">
        <v>13685</v>
      </c>
      <c r="AC203" s="8"/>
      <c r="AD203" s="170">
        <f>Y203*15</f>
        <v>1866600</v>
      </c>
      <c r="AE203" s="170">
        <f>Z203*15</f>
        <v>252555</v>
      </c>
      <c r="AF203" s="170">
        <f>AA203*15</f>
        <v>207825</v>
      </c>
      <c r="AG203" s="170">
        <f>AB203*15</f>
        <v>205275</v>
      </c>
    </row>
    <row r="204" spans="13:33" s="217" customFormat="1" x14ac:dyDescent="0.3">
      <c r="M204" s="225"/>
      <c r="N204" s="207"/>
      <c r="O204" s="182">
        <f>O74*O133</f>
        <v>957425077.75817013</v>
      </c>
      <c r="P204" s="182">
        <f t="shared" ref="P204:R204" si="466">P74*P133</f>
        <v>7303056.0882552005</v>
      </c>
      <c r="Q204" s="195">
        <f t="shared" si="466"/>
        <v>359606.42359992012</v>
      </c>
      <c r="R204" s="183">
        <f t="shared" si="466"/>
        <v>20214.932698799996</v>
      </c>
      <c r="T204" s="182">
        <f>O204-T$147</f>
        <v>957365981.75817013</v>
      </c>
      <c r="U204" s="182">
        <f t="shared" ref="U204" si="467">P204-U$147</f>
        <v>7292875.0882552005</v>
      </c>
      <c r="V204" s="195">
        <f t="shared" ref="V204" si="468">Q204-V$147</f>
        <v>350781.42359992012</v>
      </c>
      <c r="W204" s="183">
        <f t="shared" ref="W204" si="469">R204-W$147</f>
        <v>11466.932698799996</v>
      </c>
      <c r="X204" s="207"/>
      <c r="Y204" s="182">
        <f>O204-Y$203</f>
        <v>957300637.75817013</v>
      </c>
      <c r="Z204" s="182">
        <f t="shared" ref="Z204" si="470">P204-Z$203</f>
        <v>7286219.0882552005</v>
      </c>
      <c r="AA204" s="195">
        <f t="shared" ref="AA204" si="471">Q204-AA$203</f>
        <v>345751.42359992012</v>
      </c>
      <c r="AB204" s="184">
        <f t="shared" ref="AB204" si="472">R204-AB$203</f>
        <v>6529.9326987999957</v>
      </c>
      <c r="AC204" s="207"/>
      <c r="AD204" s="182">
        <f>O204-AD$203</f>
        <v>955558477.75817013</v>
      </c>
      <c r="AE204" s="182">
        <f t="shared" ref="AE204" si="473">P204-AE$203</f>
        <v>7050501.0882552005</v>
      </c>
      <c r="AF204" s="195">
        <f t="shared" ref="AF204" si="474">Q204-AF$203</f>
        <v>151781.42359992012</v>
      </c>
      <c r="AG204" s="184">
        <f t="shared" ref="AG204" si="475">R204-AG$203</f>
        <v>-185060.0673012</v>
      </c>
    </row>
    <row r="205" spans="13:33" x14ac:dyDescent="0.3">
      <c r="M205" s="210" t="s">
        <v>826</v>
      </c>
      <c r="O205" s="182">
        <f t="shared" ref="O205:R207" si="476">O75*O134</f>
        <v>1007861146.0066841</v>
      </c>
      <c r="P205" s="182">
        <f t="shared" si="476"/>
        <v>7742574.9503648002</v>
      </c>
      <c r="Q205" s="195">
        <f t="shared" si="476"/>
        <v>384406.62530256016</v>
      </c>
      <c r="R205" s="183">
        <f t="shared" si="476"/>
        <v>21699.740235999998</v>
      </c>
      <c r="T205" s="182">
        <f>O205-T$147</f>
        <v>1007802050.0066841</v>
      </c>
      <c r="U205" s="182">
        <f t="shared" ref="U205:W225" si="477">P205-U$147</f>
        <v>7732393.9503648002</v>
      </c>
      <c r="V205" s="195">
        <f t="shared" si="477"/>
        <v>375581.62530256016</v>
      </c>
      <c r="W205" s="183">
        <f t="shared" si="477"/>
        <v>12951.740235999998</v>
      </c>
      <c r="Y205" s="182">
        <f>O205-Y$203</f>
        <v>1007736706.0066841</v>
      </c>
      <c r="Z205" s="182">
        <f t="shared" ref="Z205:AB205" si="478">P205-Z$203</f>
        <v>7725737.9503648002</v>
      </c>
      <c r="AA205" s="195">
        <f t="shared" si="478"/>
        <v>370551.62530256016</v>
      </c>
      <c r="AB205" s="184">
        <f t="shared" si="478"/>
        <v>8014.7402359999978</v>
      </c>
      <c r="AC205" s="101"/>
      <c r="AD205" s="182">
        <f>O205-AD$203</f>
        <v>1005994546.0066841</v>
      </c>
      <c r="AE205" s="182">
        <f t="shared" ref="AE205:AG225" si="479">P205-AE$203</f>
        <v>7490019.9503648002</v>
      </c>
      <c r="AF205" s="195">
        <f t="shared" si="479"/>
        <v>176581.62530256016</v>
      </c>
      <c r="AG205" s="184">
        <f t="shared" si="479"/>
        <v>-183575.25976400002</v>
      </c>
    </row>
    <row r="206" spans="13:33" x14ac:dyDescent="0.3">
      <c r="M206" s="210" t="s">
        <v>924</v>
      </c>
      <c r="O206" s="182">
        <f t="shared" si="476"/>
        <v>1037191659.5419738</v>
      </c>
      <c r="P206" s="182">
        <f t="shared" si="476"/>
        <v>7998172.0732531529</v>
      </c>
      <c r="Q206" s="195">
        <f t="shared" si="476"/>
        <v>398828.89644655696</v>
      </c>
      <c r="R206" s="183">
        <f t="shared" si="476"/>
        <v>22563.212926864002</v>
      </c>
      <c r="T206" s="182">
        <f t="shared" ref="T206:T227" si="480">O206-T$147</f>
        <v>1037132563.5419738</v>
      </c>
      <c r="U206" s="182">
        <f t="shared" si="477"/>
        <v>7987991.0732531529</v>
      </c>
      <c r="V206" s="195">
        <f t="shared" si="477"/>
        <v>390003.89644655696</v>
      </c>
      <c r="W206" s="183">
        <f t="shared" si="477"/>
        <v>13815.212926864002</v>
      </c>
      <c r="Y206" s="182">
        <f t="shared" ref="Y206:Y227" si="481">O206-Y$203</f>
        <v>1037067219.5419738</v>
      </c>
      <c r="Z206" s="182">
        <f t="shared" ref="Z206:Z227" si="482">P206-Z$203</f>
        <v>7981335.0732531529</v>
      </c>
      <c r="AA206" s="195">
        <f t="shared" ref="AA206:AA227" si="483">Q206-AA$203</f>
        <v>384973.89644655696</v>
      </c>
      <c r="AB206" s="184">
        <f t="shared" ref="AB206:AB227" si="484">R206-AB$203</f>
        <v>8878.2129268640019</v>
      </c>
      <c r="AC206" s="101"/>
      <c r="AD206" s="182">
        <f t="shared" ref="AD206:AD227" si="485">O206-AD$203</f>
        <v>1035325059.5419738</v>
      </c>
      <c r="AE206" s="182">
        <f t="shared" si="479"/>
        <v>7745617.0732531529</v>
      </c>
      <c r="AF206" s="195">
        <f t="shared" si="479"/>
        <v>191003.89644655696</v>
      </c>
      <c r="AG206" s="184">
        <f t="shared" si="479"/>
        <v>-182711.78707313599</v>
      </c>
    </row>
    <row r="207" spans="13:33" x14ac:dyDescent="0.3">
      <c r="M207" s="111"/>
      <c r="N207" s="8"/>
      <c r="O207" s="194">
        <f t="shared" si="476"/>
        <v>1046748130.5657998</v>
      </c>
      <c r="P207" s="194">
        <f t="shared" si="476"/>
        <v>8081450.7548799515</v>
      </c>
      <c r="Q207" s="196">
        <f t="shared" si="476"/>
        <v>403527.96235686028</v>
      </c>
      <c r="R207" s="193">
        <f t="shared" si="476"/>
        <v>22844.549690374079</v>
      </c>
      <c r="T207" s="194">
        <f t="shared" si="480"/>
        <v>1046689034.5657998</v>
      </c>
      <c r="U207" s="194">
        <f t="shared" si="477"/>
        <v>8071269.7548799515</v>
      </c>
      <c r="V207" s="196">
        <f t="shared" si="477"/>
        <v>394702.96235686028</v>
      </c>
      <c r="W207" s="193">
        <f t="shared" si="477"/>
        <v>14096.549690374079</v>
      </c>
      <c r="Y207" s="194">
        <f t="shared" si="481"/>
        <v>1046623690.5657998</v>
      </c>
      <c r="Z207" s="194">
        <f t="shared" si="482"/>
        <v>8064613.7548799515</v>
      </c>
      <c r="AA207" s="196">
        <f t="shared" si="483"/>
        <v>389672.96235686028</v>
      </c>
      <c r="AB207" s="197">
        <f t="shared" si="484"/>
        <v>9159.5496903740786</v>
      </c>
      <c r="AC207" s="101"/>
      <c r="AD207" s="194">
        <f t="shared" si="485"/>
        <v>1044881530.5657998</v>
      </c>
      <c r="AE207" s="194">
        <f t="shared" si="479"/>
        <v>7828895.7548799515</v>
      </c>
      <c r="AF207" s="196">
        <f t="shared" si="479"/>
        <v>195702.96235686028</v>
      </c>
      <c r="AG207" s="197">
        <f t="shared" si="479"/>
        <v>-182430.45030962591</v>
      </c>
    </row>
    <row r="208" spans="13:33" s="217" customFormat="1" x14ac:dyDescent="0.3">
      <c r="M208" s="237"/>
      <c r="N208" s="207"/>
      <c r="O208" s="182">
        <f>O78*O133</f>
        <v>441575934.96300113</v>
      </c>
      <c r="P208" s="182">
        <f t="shared" ref="P208:R208" si="486">P78*P133</f>
        <v>3368257.1045763576</v>
      </c>
      <c r="Q208" s="195">
        <f t="shared" si="486"/>
        <v>165854.79784136635</v>
      </c>
      <c r="R208" s="183">
        <f t="shared" si="486"/>
        <v>9323.3695398789441</v>
      </c>
      <c r="T208" s="182">
        <f t="shared" ref="T208" si="487">O208-T$147</f>
        <v>441516838.96300113</v>
      </c>
      <c r="U208" s="182">
        <f t="shared" ref="U208" si="488">P208-U$147</f>
        <v>3358076.1045763576</v>
      </c>
      <c r="V208" s="195">
        <f t="shared" ref="V208" si="489">Q208-V$147</f>
        <v>157029.79784136635</v>
      </c>
      <c r="W208" s="184">
        <f t="shared" ref="W208" si="490">R208-W$147</f>
        <v>575.36953987894412</v>
      </c>
      <c r="Y208" s="182">
        <f t="shared" ref="Y208" si="491">O208-Y$203</f>
        <v>441451494.96300113</v>
      </c>
      <c r="Z208" s="182">
        <f t="shared" ref="Z208" si="492">P208-Z$203</f>
        <v>3351420.1045763576</v>
      </c>
      <c r="AA208" s="195">
        <f t="shared" ref="AA208" si="493">Q208-AA$203</f>
        <v>151999.79784136635</v>
      </c>
      <c r="AB208" s="184">
        <f t="shared" ref="AB208" si="494">R208-AB$203</f>
        <v>-4361.6304601210559</v>
      </c>
      <c r="AC208" s="101"/>
      <c r="AD208" s="182">
        <f t="shared" ref="AD208" si="495">O208-AD$203</f>
        <v>439709334.96300113</v>
      </c>
      <c r="AE208" s="182">
        <f t="shared" ref="AE208" si="496">P208-AE$203</f>
        <v>3115702.1045763576</v>
      </c>
      <c r="AF208" s="184">
        <f t="shared" ref="AF208" si="497">Q208-AF$203</f>
        <v>-41970.202158633649</v>
      </c>
      <c r="AG208" s="184">
        <f t="shared" ref="AG208" si="498">R208-AG$203</f>
        <v>-195951.63046012106</v>
      </c>
    </row>
    <row r="209" spans="13:33" ht="28.8" x14ac:dyDescent="0.3">
      <c r="M209" s="210" t="s">
        <v>926</v>
      </c>
      <c r="O209" s="182">
        <f t="shared" ref="O209:R211" si="499">O79*O134</f>
        <v>464837654.87203485</v>
      </c>
      <c r="P209" s="182">
        <f t="shared" si="499"/>
        <v>3570968.4780076505</v>
      </c>
      <c r="Q209" s="195">
        <f t="shared" si="499"/>
        <v>177292.94846904441</v>
      </c>
      <c r="R209" s="183">
        <f t="shared" si="499"/>
        <v>10008.180593726031</v>
      </c>
      <c r="T209" s="182">
        <f t="shared" si="480"/>
        <v>464778558.87203485</v>
      </c>
      <c r="U209" s="182">
        <f t="shared" si="477"/>
        <v>3560787.4780076505</v>
      </c>
      <c r="V209" s="195">
        <f t="shared" si="477"/>
        <v>168467.94846904441</v>
      </c>
      <c r="W209" s="184">
        <f t="shared" si="477"/>
        <v>1260.1805937260306</v>
      </c>
      <c r="Y209" s="182">
        <f t="shared" si="481"/>
        <v>464713214.87203485</v>
      </c>
      <c r="Z209" s="182">
        <f t="shared" si="482"/>
        <v>3554131.4780076505</v>
      </c>
      <c r="AA209" s="195">
        <f t="shared" si="483"/>
        <v>163437.94846904441</v>
      </c>
      <c r="AB209" s="184">
        <f t="shared" si="484"/>
        <v>-3676.8194062739694</v>
      </c>
      <c r="AC209" s="101"/>
      <c r="AD209" s="182">
        <f t="shared" si="485"/>
        <v>462971054.87203485</v>
      </c>
      <c r="AE209" s="182">
        <f t="shared" si="479"/>
        <v>3318413.4780076505</v>
      </c>
      <c r="AF209" s="184">
        <f t="shared" si="479"/>
        <v>-30532.051530955592</v>
      </c>
      <c r="AG209" s="184">
        <f t="shared" si="479"/>
        <v>-195266.81940627398</v>
      </c>
    </row>
    <row r="210" spans="13:33" x14ac:dyDescent="0.3">
      <c r="M210" s="210"/>
      <c r="O210" s="182">
        <f t="shared" si="499"/>
        <v>478365239.68067276</v>
      </c>
      <c r="P210" s="182">
        <f t="shared" si="499"/>
        <v>3688852.9382492332</v>
      </c>
      <c r="Q210" s="195">
        <f t="shared" si="499"/>
        <v>183944.67298790946</v>
      </c>
      <c r="R210" s="183">
        <f t="shared" si="499"/>
        <v>10406.424560424801</v>
      </c>
      <c r="T210" s="182">
        <f t="shared" si="480"/>
        <v>478306143.68067276</v>
      </c>
      <c r="U210" s="182">
        <f t="shared" si="477"/>
        <v>3678671.9382492332</v>
      </c>
      <c r="V210" s="195">
        <f t="shared" si="477"/>
        <v>175119.67298790946</v>
      </c>
      <c r="W210" s="184">
        <f t="shared" si="477"/>
        <v>1658.4245604248008</v>
      </c>
      <c r="Y210" s="182">
        <f t="shared" si="481"/>
        <v>478240799.68067276</v>
      </c>
      <c r="Z210" s="182">
        <f t="shared" si="482"/>
        <v>3672015.9382492332</v>
      </c>
      <c r="AA210" s="195">
        <f t="shared" si="483"/>
        <v>170089.67298790946</v>
      </c>
      <c r="AB210" s="184">
        <f t="shared" si="484"/>
        <v>-3278.5754395751992</v>
      </c>
      <c r="AC210" s="101"/>
      <c r="AD210" s="182">
        <f t="shared" si="485"/>
        <v>476498639.68067276</v>
      </c>
      <c r="AE210" s="182">
        <f t="shared" si="479"/>
        <v>3436297.9382492332</v>
      </c>
      <c r="AF210" s="184">
        <f t="shared" si="479"/>
        <v>-23880.327012090536</v>
      </c>
      <c r="AG210" s="184">
        <f t="shared" si="479"/>
        <v>-194868.57543957519</v>
      </c>
    </row>
    <row r="211" spans="13:33" x14ac:dyDescent="0.3">
      <c r="M211" s="111"/>
      <c r="N211" s="8"/>
      <c r="O211" s="194">
        <f t="shared" si="499"/>
        <v>482772798.7945137</v>
      </c>
      <c r="P211" s="194">
        <f t="shared" si="499"/>
        <v>3727262.0655596927</v>
      </c>
      <c r="Q211" s="196">
        <f t="shared" si="499"/>
        <v>186111.93857453225</v>
      </c>
      <c r="R211" s="193">
        <f t="shared" si="499"/>
        <v>10536.180451796808</v>
      </c>
      <c r="T211" s="194">
        <f t="shared" si="480"/>
        <v>482713702.7945137</v>
      </c>
      <c r="U211" s="194">
        <f t="shared" si="477"/>
        <v>3717081.0655596927</v>
      </c>
      <c r="V211" s="196">
        <f t="shared" si="477"/>
        <v>177286.93857453225</v>
      </c>
      <c r="W211" s="197">
        <f t="shared" si="477"/>
        <v>1788.1804517968085</v>
      </c>
      <c r="Y211" s="194">
        <f t="shared" si="481"/>
        <v>482648358.7945137</v>
      </c>
      <c r="Z211" s="194">
        <f t="shared" si="482"/>
        <v>3710425.0655596927</v>
      </c>
      <c r="AA211" s="196">
        <f t="shared" si="483"/>
        <v>172256.93857453225</v>
      </c>
      <c r="AB211" s="197">
        <f t="shared" si="484"/>
        <v>-3148.8195482031915</v>
      </c>
      <c r="AC211" s="101"/>
      <c r="AD211" s="194">
        <f t="shared" si="485"/>
        <v>480906198.7945137</v>
      </c>
      <c r="AE211" s="194">
        <f t="shared" si="479"/>
        <v>3474707.0655596927</v>
      </c>
      <c r="AF211" s="197">
        <f t="shared" si="479"/>
        <v>-21713.061425467749</v>
      </c>
      <c r="AG211" s="197">
        <f t="shared" si="479"/>
        <v>-194738.8195482032</v>
      </c>
    </row>
    <row r="212" spans="13:33" s="217" customFormat="1" x14ac:dyDescent="0.3">
      <c r="M212" s="237"/>
      <c r="N212" s="207"/>
      <c r="O212" s="182">
        <f>O82*O133</f>
        <v>10057750.441849574</v>
      </c>
      <c r="P212" s="183">
        <f t="shared" ref="P212:R212" si="500">P82*P133</f>
        <v>76718.604207120894</v>
      </c>
      <c r="Q212" s="184">
        <f t="shared" si="500"/>
        <v>3777.6654799171611</v>
      </c>
      <c r="R212" s="184">
        <f t="shared" si="500"/>
        <v>212.35786800089392</v>
      </c>
      <c r="T212" s="182">
        <f t="shared" ref="T212" si="501">O212-T$147</f>
        <v>9998654.4418495744</v>
      </c>
      <c r="U212" s="183">
        <f t="shared" ref="U212" si="502">P212-U$147</f>
        <v>66537.604207120894</v>
      </c>
      <c r="V212" s="184">
        <f t="shared" ref="V212" si="503">Q212-V$147</f>
        <v>-5047.3345200828389</v>
      </c>
      <c r="W212" s="184">
        <f t="shared" ref="W212" si="504">R212-W$147</f>
        <v>-8535.6421319991059</v>
      </c>
      <c r="Y212" s="182">
        <f t="shared" ref="Y212" si="505">O212-Y$203</f>
        <v>9933310.4418495744</v>
      </c>
      <c r="Z212" s="183">
        <f t="shared" ref="Z212" si="506">P212-Z$203</f>
        <v>59881.604207120894</v>
      </c>
      <c r="AA212" s="184">
        <f t="shared" ref="AA212" si="507">Q212-AA$203</f>
        <v>-10077.334520082839</v>
      </c>
      <c r="AB212" s="184">
        <f t="shared" ref="AB212" si="508">R212-AB$203</f>
        <v>-13472.642131999106</v>
      </c>
      <c r="AC212" s="101"/>
      <c r="AD212" s="182">
        <f t="shared" ref="AD212" si="509">O212-AD$203</f>
        <v>8191150.4418495744</v>
      </c>
      <c r="AE212" s="184">
        <f t="shared" ref="AE212" si="510">P212-AE$203</f>
        <v>-175836.39579287911</v>
      </c>
      <c r="AF212" s="184">
        <f t="shared" ref="AF212" si="511">Q212-AF$203</f>
        <v>-204047.33452008283</v>
      </c>
      <c r="AG212" s="184">
        <f t="shared" ref="AG212" si="512">R212-AG$203</f>
        <v>-205062.64213199911</v>
      </c>
    </row>
    <row r="213" spans="13:33" ht="28.8" x14ac:dyDescent="0.3">
      <c r="M213" s="210" t="s">
        <v>927</v>
      </c>
      <c r="O213" s="182">
        <f t="shared" ref="O213:R215" si="513">O83*O134</f>
        <v>10587581.338800216</v>
      </c>
      <c r="P213" s="183">
        <f t="shared" si="513"/>
        <v>81335.749853582238</v>
      </c>
      <c r="Q213" s="184">
        <f t="shared" si="513"/>
        <v>4038.1915988033952</v>
      </c>
      <c r="R213" s="184">
        <f t="shared" si="513"/>
        <v>227.95577117917995</v>
      </c>
      <c r="T213" s="182">
        <f t="shared" si="480"/>
        <v>10528485.338800216</v>
      </c>
      <c r="U213" s="183">
        <f t="shared" si="477"/>
        <v>71154.749853582238</v>
      </c>
      <c r="V213" s="184">
        <f t="shared" si="477"/>
        <v>-4786.8084011966048</v>
      </c>
      <c r="W213" s="184">
        <f t="shared" si="477"/>
        <v>-8520.0442288208196</v>
      </c>
      <c r="Y213" s="182">
        <f t="shared" si="481"/>
        <v>10463141.338800216</v>
      </c>
      <c r="Z213" s="183">
        <f t="shared" si="482"/>
        <v>64498.749853582238</v>
      </c>
      <c r="AA213" s="184">
        <f t="shared" si="483"/>
        <v>-9816.8084011966057</v>
      </c>
      <c r="AB213" s="184">
        <f t="shared" si="484"/>
        <v>-13457.04422882082</v>
      </c>
      <c r="AC213" s="101"/>
      <c r="AD213" s="182">
        <f t="shared" si="485"/>
        <v>8720981.3388002161</v>
      </c>
      <c r="AE213" s="184">
        <f t="shared" si="479"/>
        <v>-171219.25014641776</v>
      </c>
      <c r="AF213" s="184">
        <f t="shared" si="479"/>
        <v>-203786.80840119661</v>
      </c>
      <c r="AG213" s="184">
        <f t="shared" si="479"/>
        <v>-205047.04422882083</v>
      </c>
    </row>
    <row r="214" spans="13:33" x14ac:dyDescent="0.3">
      <c r="M214" s="210"/>
      <c r="O214" s="182">
        <f t="shared" si="513"/>
        <v>10895698.383488433</v>
      </c>
      <c r="P214" s="183">
        <f t="shared" si="513"/>
        <v>84020.797629524372</v>
      </c>
      <c r="Q214" s="184">
        <f t="shared" si="513"/>
        <v>4189.6975571710818</v>
      </c>
      <c r="R214" s="184">
        <f t="shared" si="513"/>
        <v>237.02655179670631</v>
      </c>
      <c r="T214" s="182">
        <f t="shared" si="480"/>
        <v>10836602.383488433</v>
      </c>
      <c r="U214" s="183">
        <f t="shared" si="477"/>
        <v>73839.797629524372</v>
      </c>
      <c r="V214" s="184">
        <f t="shared" si="477"/>
        <v>-4635.3024428289182</v>
      </c>
      <c r="W214" s="184">
        <f t="shared" si="477"/>
        <v>-8510.9734482032945</v>
      </c>
      <c r="Y214" s="182">
        <f t="shared" si="481"/>
        <v>10771258.383488433</v>
      </c>
      <c r="Z214" s="183">
        <f t="shared" si="482"/>
        <v>67183.797629524372</v>
      </c>
      <c r="AA214" s="184">
        <f t="shared" si="483"/>
        <v>-9665.3024428289173</v>
      </c>
      <c r="AB214" s="184">
        <f t="shared" si="484"/>
        <v>-13447.973448203295</v>
      </c>
      <c r="AC214" s="101"/>
      <c r="AD214" s="182">
        <f t="shared" si="485"/>
        <v>9029098.3834884334</v>
      </c>
      <c r="AE214" s="184">
        <f t="shared" si="479"/>
        <v>-168534.20237047563</v>
      </c>
      <c r="AF214" s="184">
        <f t="shared" si="479"/>
        <v>-203635.30244282892</v>
      </c>
      <c r="AG214" s="184">
        <f t="shared" si="479"/>
        <v>-205037.97344820329</v>
      </c>
    </row>
    <row r="215" spans="13:33" x14ac:dyDescent="0.3">
      <c r="M215" s="111"/>
      <c r="N215" s="8"/>
      <c r="O215" s="194">
        <f t="shared" si="513"/>
        <v>10996089.111593727</v>
      </c>
      <c r="P215" s="193">
        <f t="shared" si="513"/>
        <v>84895.640180013899</v>
      </c>
      <c r="Q215" s="197">
        <f t="shared" si="513"/>
        <v>4239.0612445588185</v>
      </c>
      <c r="R215" s="197">
        <f t="shared" si="513"/>
        <v>239.98199449737965</v>
      </c>
      <c r="T215" s="194">
        <f t="shared" si="480"/>
        <v>10936993.111593727</v>
      </c>
      <c r="U215" s="193">
        <f t="shared" si="477"/>
        <v>74714.640180013899</v>
      </c>
      <c r="V215" s="197">
        <f t="shared" si="477"/>
        <v>-4585.9387554411815</v>
      </c>
      <c r="W215" s="197">
        <f t="shared" si="477"/>
        <v>-8508.0180055026212</v>
      </c>
      <c r="Y215" s="194">
        <f t="shared" si="481"/>
        <v>10871649.111593727</v>
      </c>
      <c r="Z215" s="193">
        <f t="shared" si="482"/>
        <v>68058.640180013899</v>
      </c>
      <c r="AA215" s="197">
        <f t="shared" si="483"/>
        <v>-9615.9387554411805</v>
      </c>
      <c r="AB215" s="197">
        <f t="shared" si="484"/>
        <v>-13445.018005502621</v>
      </c>
      <c r="AC215" s="101"/>
      <c r="AD215" s="194">
        <f t="shared" si="485"/>
        <v>9129489.111593727</v>
      </c>
      <c r="AE215" s="197">
        <f t="shared" si="479"/>
        <v>-167659.3598199861</v>
      </c>
      <c r="AF215" s="197">
        <f t="shared" si="479"/>
        <v>-203585.9387554412</v>
      </c>
      <c r="AG215" s="197">
        <f t="shared" si="479"/>
        <v>-205035.01800550261</v>
      </c>
    </row>
    <row r="216" spans="13:33" s="217" customFormat="1" x14ac:dyDescent="0.3">
      <c r="M216" s="237"/>
      <c r="N216" s="207"/>
      <c r="O216" s="182">
        <f>O86*O133</f>
        <v>3299286.8179546534</v>
      </c>
      <c r="P216" s="183">
        <f t="shared" ref="P216:R216" si="514">P86*P133</f>
        <v>25166.331280127422</v>
      </c>
      <c r="Q216" s="184">
        <f t="shared" si="514"/>
        <v>1239.2037357253246</v>
      </c>
      <c r="R216" s="184">
        <f t="shared" si="514"/>
        <v>69.660658080064778</v>
      </c>
      <c r="T216" s="182">
        <f t="shared" ref="T216" si="515">O216-T$147</f>
        <v>3240190.8179546534</v>
      </c>
      <c r="U216" s="183">
        <f t="shared" ref="U216" si="516">P216-U$147</f>
        <v>14985.331280127422</v>
      </c>
      <c r="V216" s="184">
        <f t="shared" ref="V216" si="517">Q216-V$147</f>
        <v>-7585.7962642746752</v>
      </c>
      <c r="W216" s="184">
        <f t="shared" ref="W216" si="518">R216-W$147</f>
        <v>-8678.3393419199347</v>
      </c>
      <c r="Y216" s="182">
        <f t="shared" ref="Y216" si="519">O216-Y$203</f>
        <v>3174846.8179546534</v>
      </c>
      <c r="Z216" s="183">
        <f t="shared" ref="Z216" si="520">P216-Z$203</f>
        <v>8329.3312801274224</v>
      </c>
      <c r="AA216" s="184">
        <f t="shared" ref="AA216" si="521">Q216-AA$203</f>
        <v>-12615.796264274675</v>
      </c>
      <c r="AB216" s="184">
        <f t="shared" ref="AB216" si="522">R216-AB$203</f>
        <v>-13615.339341919935</v>
      </c>
      <c r="AC216" s="101"/>
      <c r="AD216" s="182">
        <f t="shared" ref="AD216" si="523">O216-AD$203</f>
        <v>1432686.8179546534</v>
      </c>
      <c r="AE216" s="184">
        <f t="shared" ref="AE216" si="524">P216-AE$203</f>
        <v>-227388.66871987257</v>
      </c>
      <c r="AF216" s="184">
        <f t="shared" ref="AF216" si="525">Q216-AF$203</f>
        <v>-206585.79626427469</v>
      </c>
      <c r="AG216" s="184">
        <f t="shared" ref="AG216" si="526">R216-AG$203</f>
        <v>-205205.33934191993</v>
      </c>
    </row>
    <row r="217" spans="13:33" ht="28.8" x14ac:dyDescent="0.3">
      <c r="M217" s="210" t="s">
        <v>928</v>
      </c>
      <c r="O217" s="182">
        <f t="shared" ref="O217:R219" si="527">O87*O134</f>
        <v>3473089.509139033</v>
      </c>
      <c r="P217" s="183">
        <f t="shared" si="527"/>
        <v>26680.913278957101</v>
      </c>
      <c r="Q217" s="184">
        <f t="shared" si="527"/>
        <v>1324.6652307926222</v>
      </c>
      <c r="R217" s="184">
        <f t="shared" si="527"/>
        <v>74.777304853255984</v>
      </c>
      <c r="T217" s="182">
        <f t="shared" si="480"/>
        <v>3413993.509139033</v>
      </c>
      <c r="U217" s="183">
        <f t="shared" si="477"/>
        <v>16499.913278957101</v>
      </c>
      <c r="V217" s="184">
        <f t="shared" si="477"/>
        <v>-7500.3347692073776</v>
      </c>
      <c r="W217" s="184">
        <f t="shared" si="477"/>
        <v>-8673.2226951467437</v>
      </c>
      <c r="Y217" s="182">
        <f t="shared" si="481"/>
        <v>3348649.509139033</v>
      </c>
      <c r="Z217" s="183">
        <f t="shared" si="482"/>
        <v>9843.9132789571013</v>
      </c>
      <c r="AA217" s="184">
        <f t="shared" si="483"/>
        <v>-12530.334769207378</v>
      </c>
      <c r="AB217" s="184">
        <f t="shared" si="484"/>
        <v>-13610.222695146744</v>
      </c>
      <c r="AC217" s="101"/>
      <c r="AD217" s="182">
        <f t="shared" si="485"/>
        <v>1606489.509139033</v>
      </c>
      <c r="AE217" s="184">
        <f t="shared" si="479"/>
        <v>-225874.0867210429</v>
      </c>
      <c r="AF217" s="184">
        <f t="shared" si="479"/>
        <v>-206500.33476920737</v>
      </c>
      <c r="AG217" s="184">
        <f t="shared" si="479"/>
        <v>-205200.22269514675</v>
      </c>
    </row>
    <row r="218" spans="13:33" x14ac:dyDescent="0.3">
      <c r="M218" s="210"/>
      <c r="O218" s="182">
        <f t="shared" si="527"/>
        <v>3574162.4587816414</v>
      </c>
      <c r="P218" s="183">
        <f t="shared" si="527"/>
        <v>27561.700964430365</v>
      </c>
      <c r="Q218" s="184">
        <f t="shared" si="527"/>
        <v>1374.3643771548352</v>
      </c>
      <c r="R218" s="184">
        <f t="shared" si="527"/>
        <v>77.752831745973339</v>
      </c>
      <c r="T218" s="182">
        <f t="shared" si="480"/>
        <v>3515066.4587816414</v>
      </c>
      <c r="U218" s="183">
        <f t="shared" si="477"/>
        <v>17380.700964430365</v>
      </c>
      <c r="V218" s="184">
        <f t="shared" si="477"/>
        <v>-7450.635622845165</v>
      </c>
      <c r="W218" s="184">
        <f t="shared" si="477"/>
        <v>-8670.2471682540272</v>
      </c>
      <c r="Y218" s="182">
        <f t="shared" si="481"/>
        <v>3449722.4587816414</v>
      </c>
      <c r="Z218" s="183">
        <f t="shared" si="482"/>
        <v>10724.700964430365</v>
      </c>
      <c r="AA218" s="184">
        <f t="shared" si="483"/>
        <v>-12480.635622845164</v>
      </c>
      <c r="AB218" s="184">
        <f t="shared" si="484"/>
        <v>-13607.247168254027</v>
      </c>
      <c r="AC218" s="101"/>
      <c r="AD218" s="182">
        <f t="shared" si="485"/>
        <v>1707562.4587816414</v>
      </c>
      <c r="AE218" s="184">
        <f t="shared" si="479"/>
        <v>-224993.29903556962</v>
      </c>
      <c r="AF218" s="184">
        <f t="shared" si="479"/>
        <v>-206450.63562284518</v>
      </c>
      <c r="AG218" s="184">
        <f t="shared" si="479"/>
        <v>-205197.24716825402</v>
      </c>
    </row>
    <row r="219" spans="13:33" x14ac:dyDescent="0.3">
      <c r="M219" s="111"/>
      <c r="N219" s="8"/>
      <c r="O219" s="194">
        <f t="shared" si="527"/>
        <v>3607094.0579297459</v>
      </c>
      <c r="P219" s="193">
        <f t="shared" si="527"/>
        <v>27848.679301316311</v>
      </c>
      <c r="Q219" s="197">
        <f t="shared" si="527"/>
        <v>1390.5573582817406</v>
      </c>
      <c r="R219" s="197">
        <f t="shared" si="527"/>
        <v>78.722318233029057</v>
      </c>
      <c r="T219" s="194">
        <f t="shared" si="480"/>
        <v>3547998.0579297459</v>
      </c>
      <c r="U219" s="193">
        <f t="shared" si="477"/>
        <v>17667.679301316311</v>
      </c>
      <c r="V219" s="197">
        <f t="shared" si="477"/>
        <v>-7434.4426417182594</v>
      </c>
      <c r="W219" s="197">
        <f t="shared" si="477"/>
        <v>-8669.277681766971</v>
      </c>
      <c r="Y219" s="194">
        <f t="shared" si="481"/>
        <v>3482654.0579297459</v>
      </c>
      <c r="Z219" s="193">
        <f t="shared" si="482"/>
        <v>11011.679301316311</v>
      </c>
      <c r="AA219" s="197">
        <f t="shared" si="483"/>
        <v>-12464.442641718259</v>
      </c>
      <c r="AB219" s="197">
        <f t="shared" si="484"/>
        <v>-13606.277681766971</v>
      </c>
      <c r="AC219" s="101"/>
      <c r="AD219" s="194">
        <f t="shared" si="485"/>
        <v>1740494.0579297459</v>
      </c>
      <c r="AE219" s="197">
        <f t="shared" si="479"/>
        <v>-224706.32069868367</v>
      </c>
      <c r="AF219" s="197">
        <f t="shared" si="479"/>
        <v>-206434.44264171825</v>
      </c>
      <c r="AG219" s="197">
        <f t="shared" si="479"/>
        <v>-205196.27768176698</v>
      </c>
    </row>
    <row r="220" spans="13:33" s="217" customFormat="1" x14ac:dyDescent="0.3">
      <c r="M220" s="237"/>
      <c r="N220" s="207"/>
      <c r="O220" s="195">
        <f>O90*O133</f>
        <v>500733.31566752295</v>
      </c>
      <c r="P220" s="184">
        <f t="shared" ref="P220:R220" si="528">P90*P133</f>
        <v>3819.4983341574703</v>
      </c>
      <c r="Q220" s="184">
        <f t="shared" si="528"/>
        <v>188.07415954275825</v>
      </c>
      <c r="R220" s="184">
        <f t="shared" si="528"/>
        <v>10.572409801472398</v>
      </c>
      <c r="T220" s="195">
        <f t="shared" ref="T220" si="529">O220-T$147</f>
        <v>441637.31566752295</v>
      </c>
      <c r="U220" s="184">
        <f t="shared" ref="U220" si="530">P220-U$147</f>
        <v>-6361.5016658425302</v>
      </c>
      <c r="V220" s="184">
        <f t="shared" ref="V220" si="531">Q220-V$147</f>
        <v>-8636.9258404572411</v>
      </c>
      <c r="W220" s="184">
        <f t="shared" ref="W220" si="532">R220-W$147</f>
        <v>-8737.4275901985275</v>
      </c>
      <c r="Y220" s="195">
        <f t="shared" ref="Y220" si="533">O220-Y$203</f>
        <v>376293.31566752295</v>
      </c>
      <c r="Z220" s="184">
        <f t="shared" ref="Z220" si="534">P220-Z$203</f>
        <v>-13017.50166584253</v>
      </c>
      <c r="AA220" s="184">
        <f t="shared" ref="AA220" si="535">Q220-AA$203</f>
        <v>-13666.925840457241</v>
      </c>
      <c r="AB220" s="184">
        <f t="shared" ref="AB220" si="536">R220-AB$203</f>
        <v>-13674.427590198527</v>
      </c>
      <c r="AC220" s="101"/>
      <c r="AD220" s="184">
        <f t="shared" ref="AD220" si="537">O220-AD$203</f>
        <v>-1365866.6843324769</v>
      </c>
      <c r="AE220" s="184">
        <f t="shared" ref="AE220" si="538">P220-AE$203</f>
        <v>-248735.50166584252</v>
      </c>
      <c r="AF220" s="184">
        <f t="shared" ref="AF220" si="539">Q220-AF$203</f>
        <v>-207636.92584045723</v>
      </c>
      <c r="AG220" s="184">
        <f t="shared" ref="AG220" si="540">R220-AG$203</f>
        <v>-205264.42759019852</v>
      </c>
    </row>
    <row r="221" spans="13:33" ht="28.8" x14ac:dyDescent="0.3">
      <c r="M221" s="210" t="s">
        <v>929</v>
      </c>
      <c r="O221" s="195">
        <f t="shared" ref="O221:R223" si="541">O91*O134</f>
        <v>527111.37936149584</v>
      </c>
      <c r="P221" s="184">
        <f t="shared" si="541"/>
        <v>4049.3666990407905</v>
      </c>
      <c r="Q221" s="184">
        <f t="shared" si="541"/>
        <v>201.04466503323903</v>
      </c>
      <c r="R221" s="184">
        <f t="shared" si="541"/>
        <v>11.348964143428001</v>
      </c>
      <c r="T221" s="195">
        <f t="shared" si="480"/>
        <v>468015.37936149584</v>
      </c>
      <c r="U221" s="184">
        <f t="shared" si="477"/>
        <v>-6131.633300959209</v>
      </c>
      <c r="V221" s="184">
        <f t="shared" si="477"/>
        <v>-8623.9553349667603</v>
      </c>
      <c r="W221" s="184">
        <f t="shared" si="477"/>
        <v>-8736.651035856572</v>
      </c>
      <c r="Y221" s="195">
        <f t="shared" si="481"/>
        <v>402671.37936149584</v>
      </c>
      <c r="Z221" s="184">
        <f t="shared" si="482"/>
        <v>-12787.633300959209</v>
      </c>
      <c r="AA221" s="184">
        <f t="shared" si="483"/>
        <v>-13653.95533496676</v>
      </c>
      <c r="AB221" s="184">
        <f t="shared" si="484"/>
        <v>-13673.651035856572</v>
      </c>
      <c r="AC221" s="101"/>
      <c r="AD221" s="184">
        <f t="shared" si="485"/>
        <v>-1339488.6206385042</v>
      </c>
      <c r="AE221" s="184">
        <f t="shared" si="479"/>
        <v>-248505.63330095922</v>
      </c>
      <c r="AF221" s="184">
        <f t="shared" si="479"/>
        <v>-207623.95533496677</v>
      </c>
      <c r="AG221" s="184">
        <f t="shared" si="479"/>
        <v>-205263.65103585657</v>
      </c>
    </row>
    <row r="222" spans="13:33" x14ac:dyDescent="0.3">
      <c r="M222" s="210"/>
      <c r="O222" s="195">
        <f t="shared" si="541"/>
        <v>542451.23794045218</v>
      </c>
      <c r="P222" s="184">
        <f t="shared" si="541"/>
        <v>4183.0439943113997</v>
      </c>
      <c r="Q222" s="184">
        <f t="shared" si="541"/>
        <v>208.58751284154937</v>
      </c>
      <c r="R222" s="184">
        <f t="shared" si="541"/>
        <v>11.800560360749873</v>
      </c>
      <c r="T222" s="195">
        <f t="shared" si="480"/>
        <v>483355.23794045218</v>
      </c>
      <c r="U222" s="184">
        <f t="shared" si="477"/>
        <v>-5997.9560056886003</v>
      </c>
      <c r="V222" s="184">
        <f t="shared" si="477"/>
        <v>-8616.4124871584499</v>
      </c>
      <c r="W222" s="184">
        <f t="shared" si="477"/>
        <v>-8736.1994396392492</v>
      </c>
      <c r="Y222" s="195">
        <f t="shared" si="481"/>
        <v>418011.23794045218</v>
      </c>
      <c r="Z222" s="184">
        <f t="shared" si="482"/>
        <v>-12653.9560056886</v>
      </c>
      <c r="AA222" s="184">
        <f t="shared" si="483"/>
        <v>-13646.41248715845</v>
      </c>
      <c r="AB222" s="184">
        <f t="shared" si="484"/>
        <v>-13673.199439639249</v>
      </c>
      <c r="AC222" s="101"/>
      <c r="AD222" s="184">
        <f t="shared" si="485"/>
        <v>-1324148.7620595479</v>
      </c>
      <c r="AE222" s="184">
        <f t="shared" si="479"/>
        <v>-248371.95600568861</v>
      </c>
      <c r="AF222" s="184">
        <f t="shared" si="479"/>
        <v>-207616.41248715846</v>
      </c>
      <c r="AG222" s="184">
        <f t="shared" si="479"/>
        <v>-205263.19943963925</v>
      </c>
    </row>
    <row r="223" spans="13:33" x14ac:dyDescent="0.3">
      <c r="M223" s="111"/>
      <c r="N223" s="8"/>
      <c r="O223" s="196">
        <f t="shared" si="541"/>
        <v>547449.27228591323</v>
      </c>
      <c r="P223" s="197">
        <f t="shared" si="541"/>
        <v>4226.5987448022142</v>
      </c>
      <c r="Q223" s="197">
        <f t="shared" si="541"/>
        <v>211.04512431263797</v>
      </c>
      <c r="R223" s="197">
        <f t="shared" si="541"/>
        <v>11.947699488065643</v>
      </c>
      <c r="T223" s="196">
        <f t="shared" si="480"/>
        <v>488353.27228591323</v>
      </c>
      <c r="U223" s="197">
        <f t="shared" si="477"/>
        <v>-5954.4012551977858</v>
      </c>
      <c r="V223" s="197">
        <f t="shared" si="477"/>
        <v>-8613.9548756873628</v>
      </c>
      <c r="W223" s="197">
        <f t="shared" si="477"/>
        <v>-8736.0523005119339</v>
      </c>
      <c r="Y223" s="196">
        <f t="shared" si="481"/>
        <v>423009.27228591323</v>
      </c>
      <c r="Z223" s="197">
        <f t="shared" si="482"/>
        <v>-12610.401255197787</v>
      </c>
      <c r="AA223" s="197">
        <f t="shared" si="483"/>
        <v>-13643.954875687363</v>
      </c>
      <c r="AB223" s="197">
        <f t="shared" si="484"/>
        <v>-13673.052300511934</v>
      </c>
      <c r="AC223" s="101"/>
      <c r="AD223" s="197">
        <f t="shared" si="485"/>
        <v>-1319150.7277140869</v>
      </c>
      <c r="AE223" s="197">
        <f t="shared" si="479"/>
        <v>-248328.40125519779</v>
      </c>
      <c r="AF223" s="197">
        <f t="shared" si="479"/>
        <v>-207613.95487568737</v>
      </c>
      <c r="AG223" s="197">
        <f t="shared" si="479"/>
        <v>-205263.05230051195</v>
      </c>
    </row>
    <row r="224" spans="13:33" s="217" customFormat="1" x14ac:dyDescent="0.3">
      <c r="M224" s="237"/>
      <c r="N224" s="207"/>
      <c r="O224" s="184">
        <f>O94*O133</f>
        <v>2872.2752332745108</v>
      </c>
      <c r="P224" s="184">
        <f t="shared" ref="P224:R224" si="542">P94*P133</f>
        <v>21.909168264765601</v>
      </c>
      <c r="Q224" s="184">
        <f t="shared" si="542"/>
        <v>1.0788192707997604</v>
      </c>
      <c r="R224" s="184">
        <f t="shared" si="542"/>
        <v>6.0644798096399985E-2</v>
      </c>
      <c r="T224" s="184">
        <f t="shared" ref="T224" si="543">O224-T$147</f>
        <v>-56223.724766725492</v>
      </c>
      <c r="U224" s="184">
        <f t="shared" ref="U224" si="544">P224-U$147</f>
        <v>-10159.090831735235</v>
      </c>
      <c r="V224" s="184">
        <f t="shared" ref="V224" si="545">Q224-V$147</f>
        <v>-8823.9211807291995</v>
      </c>
      <c r="W224" s="184">
        <f t="shared" ref="W224" si="546">R224-W$147</f>
        <v>-8747.9393552019028</v>
      </c>
      <c r="Y224" s="184">
        <f t="shared" ref="Y224" si="547">O224-Y$203</f>
        <v>-121567.72476672549</v>
      </c>
      <c r="Z224" s="184">
        <f t="shared" ref="Z224" si="548">P224-Z$203</f>
        <v>-16815.090831735233</v>
      </c>
      <c r="AA224" s="184">
        <f t="shared" ref="AA224" si="549">Q224-AA$203</f>
        <v>-13853.921180729199</v>
      </c>
      <c r="AB224" s="184">
        <f t="shared" ref="AB224" si="550">R224-AB$203</f>
        <v>-13684.939355201903</v>
      </c>
      <c r="AC224" s="101"/>
      <c r="AD224" s="184">
        <f t="shared" ref="AD224" si="551">O224-AD$203</f>
        <v>-1863727.7247667254</v>
      </c>
      <c r="AE224" s="184">
        <f t="shared" ref="AE224" si="552">P224-AE$203</f>
        <v>-252533.09083173523</v>
      </c>
      <c r="AF224" s="184">
        <f t="shared" ref="AF224" si="553">Q224-AF$203</f>
        <v>-207823.9211807292</v>
      </c>
      <c r="AG224" s="184">
        <f t="shared" ref="AG224" si="554">R224-AG$203</f>
        <v>-205274.9393552019</v>
      </c>
    </row>
    <row r="225" spans="1:33" x14ac:dyDescent="0.3">
      <c r="M225" s="210" t="s">
        <v>827</v>
      </c>
      <c r="O225" s="184">
        <f t="shared" ref="O225:R227" si="555">O95*O134</f>
        <v>3023.5834380200531</v>
      </c>
      <c r="P225" s="184">
        <f t="shared" si="555"/>
        <v>23.227724851094404</v>
      </c>
      <c r="Q225" s="184">
        <f t="shared" si="555"/>
        <v>1.1532198759076806</v>
      </c>
      <c r="R225" s="184">
        <f t="shared" si="555"/>
        <v>6.5099220708000005E-2</v>
      </c>
      <c r="T225" s="184">
        <f t="shared" si="480"/>
        <v>-56072.416561979946</v>
      </c>
      <c r="U225" s="184">
        <f t="shared" si="477"/>
        <v>-10157.772275148905</v>
      </c>
      <c r="V225" s="184">
        <f t="shared" si="477"/>
        <v>-8823.8467801240931</v>
      </c>
      <c r="W225" s="184">
        <f t="shared" si="477"/>
        <v>-8747.9349007792916</v>
      </c>
      <c r="Y225" s="184">
        <f t="shared" si="481"/>
        <v>-121416.41656197995</v>
      </c>
      <c r="Z225" s="184">
        <f t="shared" si="482"/>
        <v>-16813.772275148905</v>
      </c>
      <c r="AA225" s="184">
        <f t="shared" si="483"/>
        <v>-13853.846780124093</v>
      </c>
      <c r="AB225" s="184">
        <f t="shared" si="484"/>
        <v>-13684.934900779292</v>
      </c>
      <c r="AC225" s="101"/>
      <c r="AD225" s="184">
        <f t="shared" si="485"/>
        <v>-1863576.41656198</v>
      </c>
      <c r="AE225" s="184">
        <f t="shared" si="479"/>
        <v>-252531.77227514892</v>
      </c>
      <c r="AF225" s="184">
        <f t="shared" si="479"/>
        <v>-207823.84678012409</v>
      </c>
      <c r="AG225" s="184">
        <f t="shared" si="479"/>
        <v>-205274.93490077931</v>
      </c>
    </row>
    <row r="226" spans="1:33" x14ac:dyDescent="0.3">
      <c r="M226" s="209" t="s">
        <v>925</v>
      </c>
      <c r="O226" s="184">
        <f t="shared" si="555"/>
        <v>3111.5749786259216</v>
      </c>
      <c r="P226" s="184">
        <f t="shared" si="555"/>
        <v>23.994516219759458</v>
      </c>
      <c r="Q226" s="184">
        <f t="shared" si="555"/>
        <v>1.1964866893396711</v>
      </c>
      <c r="R226" s="184">
        <f t="shared" si="555"/>
        <v>6.7689638780592004E-2</v>
      </c>
      <c r="T226" s="184">
        <f t="shared" si="480"/>
        <v>-55984.425021374082</v>
      </c>
      <c r="U226" s="184">
        <f t="shared" ref="U226:U227" si="556">P226-U$147</f>
        <v>-10157.00548378024</v>
      </c>
      <c r="V226" s="184">
        <f t="shared" ref="V226:V227" si="557">Q226-V$147</f>
        <v>-8823.8035133106605</v>
      </c>
      <c r="W226" s="184">
        <f t="shared" ref="W226:W227" si="558">R226-W$147</f>
        <v>-8747.9323103612187</v>
      </c>
      <c r="Y226" s="184">
        <f t="shared" si="481"/>
        <v>-121328.42502137407</v>
      </c>
      <c r="Z226" s="184">
        <f t="shared" si="482"/>
        <v>-16813.005483780242</v>
      </c>
      <c r="AA226" s="184">
        <f t="shared" si="483"/>
        <v>-13853.80351331066</v>
      </c>
      <c r="AB226" s="184">
        <f t="shared" si="484"/>
        <v>-13684.932310361219</v>
      </c>
      <c r="AC226" s="101"/>
      <c r="AD226" s="184">
        <f t="shared" si="485"/>
        <v>-1863488.4250213741</v>
      </c>
      <c r="AE226" s="184">
        <f t="shared" ref="AE226:AE227" si="559">P226-AE$203</f>
        <v>-252531.00548378023</v>
      </c>
      <c r="AF226" s="184">
        <f t="shared" ref="AF226:AF227" si="560">Q226-AF$203</f>
        <v>-207823.80351331065</v>
      </c>
      <c r="AG226" s="184">
        <f t="shared" ref="AG226:AG227" si="561">R226-AG$203</f>
        <v>-205274.93231036121</v>
      </c>
    </row>
    <row r="227" spans="1:33" x14ac:dyDescent="0.3">
      <c r="A227" s="86"/>
      <c r="M227" s="8"/>
      <c r="N227" s="8"/>
      <c r="O227" s="197">
        <f t="shared" si="555"/>
        <v>3140.2443916973998</v>
      </c>
      <c r="P227" s="197">
        <f t="shared" si="555"/>
        <v>24.244352264639854</v>
      </c>
      <c r="Q227" s="197">
        <f t="shared" si="555"/>
        <v>1.210583887070581</v>
      </c>
      <c r="R227" s="197">
        <f t="shared" si="555"/>
        <v>6.8533649071122235E-2</v>
      </c>
      <c r="T227" s="197">
        <f t="shared" si="480"/>
        <v>-55955.755608302599</v>
      </c>
      <c r="U227" s="197">
        <f t="shared" si="556"/>
        <v>-10156.755647735361</v>
      </c>
      <c r="V227" s="197">
        <f t="shared" si="557"/>
        <v>-8823.7894161129298</v>
      </c>
      <c r="W227" s="197">
        <f t="shared" si="558"/>
        <v>-8747.9314663509285</v>
      </c>
      <c r="Y227" s="184">
        <f t="shared" si="481"/>
        <v>-121299.7556083026</v>
      </c>
      <c r="Z227" s="184">
        <f t="shared" si="482"/>
        <v>-16812.755647735361</v>
      </c>
      <c r="AA227" s="184">
        <f t="shared" si="483"/>
        <v>-13853.78941611293</v>
      </c>
      <c r="AB227" s="184">
        <f t="shared" si="484"/>
        <v>-13684.931466350929</v>
      </c>
      <c r="AC227" s="101"/>
      <c r="AD227" s="184">
        <f t="shared" si="485"/>
        <v>-1863459.7556083025</v>
      </c>
      <c r="AE227" s="184">
        <f t="shared" si="559"/>
        <v>-252530.75564773535</v>
      </c>
      <c r="AF227" s="184">
        <f t="shared" si="560"/>
        <v>-207823.78941611294</v>
      </c>
      <c r="AG227" s="184">
        <f t="shared" si="561"/>
        <v>-205274.93146635094</v>
      </c>
    </row>
    <row r="229" spans="1:33" x14ac:dyDescent="0.3">
      <c r="M229" s="168" t="s">
        <v>859</v>
      </c>
      <c r="N229" s="168"/>
      <c r="O229" s="168"/>
      <c r="P229" s="168"/>
      <c r="Q229" s="168"/>
      <c r="R229" s="168"/>
      <c r="T229" s="178" t="s">
        <v>969</v>
      </c>
      <c r="U229" s="168"/>
      <c r="V229" s="168"/>
      <c r="W229" s="168"/>
      <c r="Y229" s="178" t="s">
        <v>968</v>
      </c>
      <c r="Z229" s="178"/>
      <c r="AA229" s="178"/>
      <c r="AB229" s="178"/>
      <c r="AC229" s="178"/>
      <c r="AD229" s="213" t="s">
        <v>970</v>
      </c>
      <c r="AE229" s="178"/>
      <c r="AF229" s="178"/>
      <c r="AG229" s="178"/>
    </row>
    <row r="230" spans="1:33" x14ac:dyDescent="0.3">
      <c r="M230" s="176" t="s">
        <v>823</v>
      </c>
      <c r="N230" s="8"/>
      <c r="O230" s="188" t="s">
        <v>828</v>
      </c>
      <c r="P230" s="188" t="s">
        <v>829</v>
      </c>
      <c r="Q230" s="188" t="s">
        <v>830</v>
      </c>
      <c r="R230" s="188" t="s">
        <v>831</v>
      </c>
      <c r="T230" s="170">
        <v>59096</v>
      </c>
      <c r="U230" s="170">
        <v>10181</v>
      </c>
      <c r="V230" s="170">
        <v>8825</v>
      </c>
      <c r="W230" s="170">
        <v>8748</v>
      </c>
      <c r="X230" s="8"/>
      <c r="Y230" s="170">
        <v>124440</v>
      </c>
      <c r="Z230" s="170">
        <v>16837</v>
      </c>
      <c r="AA230" s="170">
        <v>13855</v>
      </c>
      <c r="AB230" s="170">
        <v>13685</v>
      </c>
      <c r="AC230" s="8"/>
      <c r="AD230" s="170">
        <f>Y230*15</f>
        <v>1866600</v>
      </c>
      <c r="AE230" s="170">
        <f>Z230*15</f>
        <v>252555</v>
      </c>
      <c r="AF230" s="170">
        <f>AA230*15</f>
        <v>207825</v>
      </c>
      <c r="AG230" s="170">
        <f>AB230*15</f>
        <v>205275</v>
      </c>
    </row>
    <row r="231" spans="1:33" s="217" customFormat="1" x14ac:dyDescent="0.3">
      <c r="M231" s="225"/>
      <c r="N231" s="207"/>
      <c r="O231" s="182">
        <f>O74*(O133+O137)</f>
        <v>989076642.42317009</v>
      </c>
      <c r="P231" s="182">
        <f t="shared" ref="P231:R231" si="562">P74*(P133+P137)</f>
        <v>8633337.7782552</v>
      </c>
      <c r="Q231" s="195">
        <f t="shared" si="562"/>
        <v>419289.15734992007</v>
      </c>
      <c r="R231" s="183">
        <f t="shared" si="562"/>
        <v>25646.712323799999</v>
      </c>
      <c r="T231" s="182">
        <f>O231-T$147</f>
        <v>989017546.42317009</v>
      </c>
      <c r="U231" s="182">
        <f t="shared" ref="U231" si="563">P231-U$147</f>
        <v>8623156.7782552</v>
      </c>
      <c r="V231" s="195">
        <f t="shared" ref="V231" si="564">Q231-V$147</f>
        <v>410464.15734992007</v>
      </c>
      <c r="W231" s="183">
        <f t="shared" ref="W231" si="565">R231-W$147</f>
        <v>16898.712323799999</v>
      </c>
      <c r="X231" s="207"/>
      <c r="Y231" s="182">
        <f>O231-Y$230</f>
        <v>988952202.42317009</v>
      </c>
      <c r="Z231" s="182">
        <f t="shared" ref="Z231" si="566">P231-Z$230</f>
        <v>8616500.7782552</v>
      </c>
      <c r="AA231" s="195">
        <f t="shared" ref="AA231" si="567">Q231-AA$230</f>
        <v>405434.15734992007</v>
      </c>
      <c r="AB231" s="183">
        <f t="shared" ref="AB231" si="568">R231-AB$230</f>
        <v>11961.712323799999</v>
      </c>
      <c r="AC231" s="207"/>
      <c r="AD231" s="182">
        <f>O231-AD$230</f>
        <v>987210042.42317009</v>
      </c>
      <c r="AE231" s="182">
        <f t="shared" ref="AE231" si="569">P231-AE$230</f>
        <v>8380782.7782552</v>
      </c>
      <c r="AF231" s="195">
        <f t="shared" ref="AF231" si="570">Q231-AF$230</f>
        <v>211464.15734992007</v>
      </c>
      <c r="AG231" s="184">
        <f t="shared" ref="AG231" si="571">R231-AG$230</f>
        <v>-179628.28767620001</v>
      </c>
    </row>
    <row r="232" spans="1:33" x14ac:dyDescent="0.3">
      <c r="M232" s="210" t="s">
        <v>826</v>
      </c>
      <c r="N232" s="168"/>
      <c r="O232" s="182">
        <f t="shared" ref="O232:R234" si="572">O75*(O134+O138)</f>
        <v>1041493558.696684</v>
      </c>
      <c r="P232" s="182">
        <f t="shared" si="572"/>
        <v>9168172.1723647993</v>
      </c>
      <c r="Q232" s="195">
        <f t="shared" si="572"/>
        <v>448188.56650256016</v>
      </c>
      <c r="R232" s="183">
        <f t="shared" si="572"/>
        <v>27507.651395999997</v>
      </c>
      <c r="T232" s="182">
        <f>O232-T$147</f>
        <v>1041434462.696684</v>
      </c>
      <c r="U232" s="182">
        <f t="shared" ref="U232:W252" si="573">P232-U$147</f>
        <v>9157991.1723647993</v>
      </c>
      <c r="V232" s="195">
        <f t="shared" si="573"/>
        <v>439363.56650256016</v>
      </c>
      <c r="W232" s="183">
        <f t="shared" si="573"/>
        <v>18759.651395999997</v>
      </c>
      <c r="Y232" s="182">
        <f>O232-Y$230</f>
        <v>1041369118.696684</v>
      </c>
      <c r="Z232" s="182">
        <f t="shared" ref="Z232:AB232" si="574">P232-Z$230</f>
        <v>9151335.1723647993</v>
      </c>
      <c r="AA232" s="195">
        <f t="shared" si="574"/>
        <v>434333.56650256016</v>
      </c>
      <c r="AB232" s="183">
        <f t="shared" si="574"/>
        <v>13822.651395999997</v>
      </c>
      <c r="AC232" s="101"/>
      <c r="AD232" s="182">
        <f>O232-AD$230</f>
        <v>1039626958.696684</v>
      </c>
      <c r="AE232" s="182">
        <f t="shared" ref="AE232:AG252" si="575">P232-AE$230</f>
        <v>8915617.1723647993</v>
      </c>
      <c r="AF232" s="195">
        <f t="shared" si="575"/>
        <v>240363.56650256016</v>
      </c>
      <c r="AG232" s="184">
        <f t="shared" si="575"/>
        <v>-177767.348604</v>
      </c>
    </row>
    <row r="233" spans="1:33" x14ac:dyDescent="0.3">
      <c r="A233" s="86"/>
      <c r="M233" s="210" t="s">
        <v>924</v>
      </c>
      <c r="N233" s="168"/>
      <c r="O233" s="182">
        <f t="shared" si="572"/>
        <v>1071976011.5449739</v>
      </c>
      <c r="P233" s="182">
        <f t="shared" si="572"/>
        <v>9479198.9430931527</v>
      </c>
      <c r="Q233" s="195">
        <f t="shared" si="572"/>
        <v>464994.68444055697</v>
      </c>
      <c r="R233" s="183">
        <f t="shared" si="572"/>
        <v>28589.859041064006</v>
      </c>
      <c r="T233" s="182">
        <f t="shared" ref="T233:T254" si="576">O233-T$147</f>
        <v>1071916915.5449739</v>
      </c>
      <c r="U233" s="182">
        <f t="shared" si="573"/>
        <v>9469017.9430931527</v>
      </c>
      <c r="V233" s="195">
        <f t="shared" si="573"/>
        <v>456169.68444055697</v>
      </c>
      <c r="W233" s="183">
        <f t="shared" si="573"/>
        <v>19841.859041064006</v>
      </c>
      <c r="Y233" s="182">
        <f t="shared" ref="Y233:Y254" si="577">O233-Y$230</f>
        <v>1071851571.5449739</v>
      </c>
      <c r="Z233" s="182">
        <f t="shared" ref="Z233:Z254" si="578">P233-Z$230</f>
        <v>9462361.9430931527</v>
      </c>
      <c r="AA233" s="195">
        <f t="shared" ref="AA233:AA254" si="579">Q233-AA$230</f>
        <v>451139.68444055697</v>
      </c>
      <c r="AB233" s="183">
        <f t="shared" ref="AB233:AB254" si="580">R233-AB$230</f>
        <v>14904.859041064006</v>
      </c>
      <c r="AC233" s="101"/>
      <c r="AD233" s="182">
        <f t="shared" ref="AD233:AD254" si="581">O233-AD$230</f>
        <v>1070109411.5449739</v>
      </c>
      <c r="AE233" s="182">
        <f t="shared" si="575"/>
        <v>9226643.9430931527</v>
      </c>
      <c r="AF233" s="195">
        <f t="shared" si="575"/>
        <v>257169.68444055697</v>
      </c>
      <c r="AG233" s="184">
        <f t="shared" si="575"/>
        <v>-176685.14095893598</v>
      </c>
    </row>
    <row r="234" spans="1:33" x14ac:dyDescent="0.3">
      <c r="M234" s="111"/>
      <c r="N234" s="8"/>
      <c r="O234" s="194">
        <f t="shared" si="572"/>
        <v>1081907807.5576599</v>
      </c>
      <c r="P234" s="194">
        <f t="shared" si="572"/>
        <v>9580537.7184447516</v>
      </c>
      <c r="Q234" s="196">
        <f t="shared" si="572"/>
        <v>470470.45556554029</v>
      </c>
      <c r="R234" s="193">
        <f t="shared" si="572"/>
        <v>28942.464050498078</v>
      </c>
      <c r="T234" s="194">
        <f t="shared" si="576"/>
        <v>1081848711.5576599</v>
      </c>
      <c r="U234" s="194">
        <f t="shared" si="573"/>
        <v>9570356.7184447516</v>
      </c>
      <c r="V234" s="196">
        <f t="shared" si="573"/>
        <v>461645.45556554029</v>
      </c>
      <c r="W234" s="193">
        <f t="shared" si="573"/>
        <v>20194.464050498078</v>
      </c>
      <c r="Y234" s="194">
        <f t="shared" si="577"/>
        <v>1081783367.5576599</v>
      </c>
      <c r="Z234" s="194">
        <f t="shared" si="578"/>
        <v>9563700.7184447516</v>
      </c>
      <c r="AA234" s="196">
        <f t="shared" si="579"/>
        <v>456615.45556554029</v>
      </c>
      <c r="AB234" s="193">
        <f t="shared" si="580"/>
        <v>15257.464050498078</v>
      </c>
      <c r="AC234" s="101"/>
      <c r="AD234" s="194">
        <f t="shared" si="581"/>
        <v>1080041207.5576599</v>
      </c>
      <c r="AE234" s="194">
        <f t="shared" si="575"/>
        <v>9327982.7184447516</v>
      </c>
      <c r="AF234" s="196">
        <f t="shared" si="575"/>
        <v>262645.45556554029</v>
      </c>
      <c r="AG234" s="197">
        <f t="shared" si="575"/>
        <v>-176332.53594950191</v>
      </c>
    </row>
    <row r="235" spans="1:33" s="217" customFormat="1" x14ac:dyDescent="0.3">
      <c r="M235" s="237"/>
      <c r="N235" s="207"/>
      <c r="O235" s="182">
        <f>O78*(O133+O137)</f>
        <v>456174016.40527511</v>
      </c>
      <c r="P235" s="182">
        <f t="shared" ref="P235:R235" si="582">P78*(P133+P137)</f>
        <v>3981798.9833846381</v>
      </c>
      <c r="Q235" s="195">
        <f t="shared" si="582"/>
        <v>193381.19083967133</v>
      </c>
      <c r="R235" s="183">
        <f t="shared" si="582"/>
        <v>11828.571484284445</v>
      </c>
      <c r="T235" s="182">
        <f t="shared" ref="T235" si="583">O235-T$147</f>
        <v>456114920.40527511</v>
      </c>
      <c r="U235" s="182">
        <f t="shared" ref="U235" si="584">P235-U$147</f>
        <v>3971617.9833846381</v>
      </c>
      <c r="V235" s="195">
        <f t="shared" ref="V235" si="585">Q235-V$147</f>
        <v>184556.19083967133</v>
      </c>
      <c r="W235" s="184">
        <f t="shared" ref="W235" si="586">R235-W$147</f>
        <v>3080.5714842844445</v>
      </c>
      <c r="Y235" s="182">
        <f t="shared" ref="Y235" si="587">O235-Y$230</f>
        <v>456049576.40527511</v>
      </c>
      <c r="Z235" s="182">
        <f t="shared" ref="Z235" si="588">P235-Z$230</f>
        <v>3964961.9833846381</v>
      </c>
      <c r="AA235" s="195">
        <f t="shared" ref="AA235" si="589">Q235-AA$230</f>
        <v>179526.19083967133</v>
      </c>
      <c r="AB235" s="184">
        <f t="shared" ref="AB235" si="590">R235-AB$230</f>
        <v>-1856.4285157155555</v>
      </c>
      <c r="AC235" s="101"/>
      <c r="AD235" s="182">
        <f t="shared" ref="AD235" si="591">O235-AD$230</f>
        <v>454307416.40527511</v>
      </c>
      <c r="AE235" s="182">
        <f t="shared" ref="AE235" si="592">P235-AE$230</f>
        <v>3729243.9833846381</v>
      </c>
      <c r="AF235" s="183">
        <f t="shared" ref="AF235" si="593">Q235-AF$230</f>
        <v>-14443.809160328674</v>
      </c>
      <c r="AG235" s="184">
        <f t="shared" ref="AG235" si="594">R235-AG$230</f>
        <v>-193446.42851571555</v>
      </c>
    </row>
    <row r="236" spans="1:33" ht="28.8" x14ac:dyDescent="0.3">
      <c r="M236" s="210" t="s">
        <v>926</v>
      </c>
      <c r="N236" s="168"/>
      <c r="O236" s="182">
        <f t="shared" ref="O236:R238" si="595">O79*(O134+O138)</f>
        <v>480349327.19361508</v>
      </c>
      <c r="P236" s="182">
        <f t="shared" si="595"/>
        <v>4228471.0239607142</v>
      </c>
      <c r="Q236" s="195">
        <f t="shared" si="595"/>
        <v>206709.94513377879</v>
      </c>
      <c r="R236" s="183">
        <f t="shared" si="595"/>
        <v>12686.85891565195</v>
      </c>
      <c r="T236" s="182">
        <f t="shared" si="576"/>
        <v>480290231.19361508</v>
      </c>
      <c r="U236" s="182">
        <f t="shared" si="573"/>
        <v>4218290.0239607142</v>
      </c>
      <c r="V236" s="195">
        <f t="shared" si="573"/>
        <v>197884.94513377879</v>
      </c>
      <c r="W236" s="184">
        <f t="shared" si="573"/>
        <v>3938.8589156519502</v>
      </c>
      <c r="Y236" s="182">
        <f t="shared" si="577"/>
        <v>480224887.19361508</v>
      </c>
      <c r="Z236" s="182">
        <f t="shared" si="578"/>
        <v>4211634.0239607142</v>
      </c>
      <c r="AA236" s="195">
        <f t="shared" si="579"/>
        <v>192854.94513377879</v>
      </c>
      <c r="AB236" s="184">
        <f t="shared" si="580"/>
        <v>-998.14108434804984</v>
      </c>
      <c r="AC236" s="101"/>
      <c r="AD236" s="182">
        <f t="shared" si="581"/>
        <v>478482727.19361508</v>
      </c>
      <c r="AE236" s="182">
        <f t="shared" si="575"/>
        <v>3975916.0239607142</v>
      </c>
      <c r="AF236" s="183">
        <f t="shared" si="575"/>
        <v>-1115.0548662212095</v>
      </c>
      <c r="AG236" s="184">
        <f t="shared" si="575"/>
        <v>-192588.14108434806</v>
      </c>
    </row>
    <row r="237" spans="1:33" x14ac:dyDescent="0.3">
      <c r="M237" s="210"/>
      <c r="N237" s="168"/>
      <c r="O237" s="182">
        <f t="shared" si="595"/>
        <v>494408200.23668045</v>
      </c>
      <c r="P237" s="182">
        <f t="shared" si="595"/>
        <v>4371920.3029418793</v>
      </c>
      <c r="Q237" s="195">
        <f t="shared" si="595"/>
        <v>214461.12840019818</v>
      </c>
      <c r="R237" s="183">
        <f t="shared" si="595"/>
        <v>13185.986068047212</v>
      </c>
      <c r="T237" s="182">
        <f t="shared" si="576"/>
        <v>494349104.23668045</v>
      </c>
      <c r="U237" s="182">
        <f t="shared" si="573"/>
        <v>4361739.3029418793</v>
      </c>
      <c r="V237" s="195">
        <f t="shared" si="573"/>
        <v>205636.12840019818</v>
      </c>
      <c r="W237" s="184">
        <f t="shared" si="573"/>
        <v>4437.986068047212</v>
      </c>
      <c r="Y237" s="182">
        <f t="shared" si="577"/>
        <v>494283760.23668045</v>
      </c>
      <c r="Z237" s="182">
        <f t="shared" si="578"/>
        <v>4355083.3029418793</v>
      </c>
      <c r="AA237" s="195">
        <f t="shared" si="579"/>
        <v>200606.12840019818</v>
      </c>
      <c r="AB237" s="184">
        <f t="shared" si="580"/>
        <v>-499.01393195278797</v>
      </c>
      <c r="AC237" s="101"/>
      <c r="AD237" s="182">
        <f t="shared" si="581"/>
        <v>492541600.23668045</v>
      </c>
      <c r="AE237" s="182">
        <f t="shared" si="575"/>
        <v>4119365.3029418793</v>
      </c>
      <c r="AF237" s="183">
        <f t="shared" si="575"/>
        <v>6636.128400198184</v>
      </c>
      <c r="AG237" s="184">
        <f t="shared" si="575"/>
        <v>-192089.0139319528</v>
      </c>
    </row>
    <row r="238" spans="1:33" x14ac:dyDescent="0.3">
      <c r="M238" s="111"/>
      <c r="N238" s="8"/>
      <c r="O238" s="194">
        <f t="shared" si="595"/>
        <v>498988863.73928338</v>
      </c>
      <c r="P238" s="194">
        <f t="shared" si="595"/>
        <v>4418658.9621993406</v>
      </c>
      <c r="Q238" s="196">
        <f t="shared" si="595"/>
        <v>216986.61975229398</v>
      </c>
      <c r="R238" s="193">
        <f t="shared" si="595"/>
        <v>13348.61172965832</v>
      </c>
      <c r="T238" s="194">
        <f t="shared" si="576"/>
        <v>498929767.73928338</v>
      </c>
      <c r="U238" s="194">
        <f t="shared" si="573"/>
        <v>4408477.9621993406</v>
      </c>
      <c r="V238" s="196">
        <f t="shared" si="573"/>
        <v>208161.61975229398</v>
      </c>
      <c r="W238" s="197">
        <f t="shared" si="573"/>
        <v>4600.6117296583197</v>
      </c>
      <c r="Y238" s="194">
        <f t="shared" si="577"/>
        <v>498864423.73928338</v>
      </c>
      <c r="Z238" s="194">
        <f t="shared" si="578"/>
        <v>4401821.9621993406</v>
      </c>
      <c r="AA238" s="196">
        <f t="shared" si="579"/>
        <v>203131.61975229398</v>
      </c>
      <c r="AB238" s="197">
        <f t="shared" si="580"/>
        <v>-336.38827034168025</v>
      </c>
      <c r="AC238" s="101"/>
      <c r="AD238" s="194">
        <f t="shared" si="581"/>
        <v>497122263.73928338</v>
      </c>
      <c r="AE238" s="194">
        <f t="shared" si="575"/>
        <v>4166103.9621993406</v>
      </c>
      <c r="AF238" s="193">
        <f t="shared" si="575"/>
        <v>9161.6197522939765</v>
      </c>
      <c r="AG238" s="197">
        <f t="shared" si="575"/>
        <v>-191926.38827034167</v>
      </c>
    </row>
    <row r="239" spans="1:33" s="217" customFormat="1" x14ac:dyDescent="0.3">
      <c r="M239" s="237"/>
      <c r="N239" s="207"/>
      <c r="O239" s="182">
        <f>O82*(O133+O137)</f>
        <v>10390250.1286554</v>
      </c>
      <c r="P239" s="195">
        <f t="shared" ref="P239:R239" si="596">P82*(P133+P137)</f>
        <v>90693.213360570895</v>
      </c>
      <c r="Q239" s="184">
        <f t="shared" si="596"/>
        <v>4404.632597960911</v>
      </c>
      <c r="R239" s="184">
        <f t="shared" si="596"/>
        <v>269.41871296151891</v>
      </c>
      <c r="T239" s="182">
        <f t="shared" ref="T239" si="597">O239-T$147</f>
        <v>10331154.1286554</v>
      </c>
      <c r="U239" s="183">
        <f t="shared" ref="U239" si="598">P239-U$147</f>
        <v>80512.213360570895</v>
      </c>
      <c r="V239" s="184">
        <f t="shared" ref="V239" si="599">Q239-V$147</f>
        <v>-4420.367402039089</v>
      </c>
      <c r="W239" s="184">
        <f t="shared" ref="W239" si="600">R239-W$147</f>
        <v>-8478.5812870384816</v>
      </c>
      <c r="Y239" s="182">
        <f t="shared" ref="Y239" si="601">O239-Y$230</f>
        <v>10265810.1286554</v>
      </c>
      <c r="Z239" s="183">
        <f t="shared" ref="Z239" si="602">P239-Z$230</f>
        <v>73856.213360570895</v>
      </c>
      <c r="AA239" s="184">
        <f t="shared" ref="AA239" si="603">Q239-AA$230</f>
        <v>-9450.3674020390899</v>
      </c>
      <c r="AB239" s="184">
        <f t="shared" ref="AB239" si="604">R239-AB$230</f>
        <v>-13415.581287038482</v>
      </c>
      <c r="AC239" s="101"/>
      <c r="AD239" s="182">
        <f t="shared" ref="AD239" si="605">O239-AD$230</f>
        <v>8523650.1286554001</v>
      </c>
      <c r="AE239" s="184">
        <f t="shared" ref="AE239" si="606">P239-AE$230</f>
        <v>-161861.7866394291</v>
      </c>
      <c r="AF239" s="184">
        <f t="shared" ref="AF239" si="607">Q239-AF$230</f>
        <v>-203420.36740203909</v>
      </c>
      <c r="AG239" s="184">
        <f t="shared" ref="AG239" si="608">R239-AG$230</f>
        <v>-205005.58128703848</v>
      </c>
    </row>
    <row r="240" spans="1:33" ht="28.8" x14ac:dyDescent="0.3">
      <c r="M240" s="210" t="s">
        <v>927</v>
      </c>
      <c r="N240" s="168"/>
      <c r="O240" s="182">
        <f t="shared" ref="O240:R242" si="609">O83*(O134+O138)</f>
        <v>10940889.834108666</v>
      </c>
      <c r="P240" s="195">
        <f t="shared" si="609"/>
        <v>96311.64867069223</v>
      </c>
      <c r="Q240" s="184">
        <f t="shared" si="609"/>
        <v>4708.2208911093958</v>
      </c>
      <c r="R240" s="184">
        <f t="shared" si="609"/>
        <v>288.96787791497997</v>
      </c>
      <c r="T240" s="182">
        <f t="shared" si="576"/>
        <v>10881793.834108666</v>
      </c>
      <c r="U240" s="183">
        <f t="shared" si="573"/>
        <v>86130.64867069223</v>
      </c>
      <c r="V240" s="184">
        <f t="shared" si="573"/>
        <v>-4116.7791088906042</v>
      </c>
      <c r="W240" s="184">
        <f t="shared" si="573"/>
        <v>-8459.0321220850201</v>
      </c>
      <c r="Y240" s="182">
        <f t="shared" si="577"/>
        <v>10816449.834108666</v>
      </c>
      <c r="Z240" s="183">
        <f t="shared" si="578"/>
        <v>79474.64867069223</v>
      </c>
      <c r="AA240" s="184">
        <f t="shared" si="579"/>
        <v>-9146.7791088906051</v>
      </c>
      <c r="AB240" s="184">
        <f t="shared" si="580"/>
        <v>-13396.03212208502</v>
      </c>
      <c r="AC240" s="101"/>
      <c r="AD240" s="182">
        <f t="shared" si="581"/>
        <v>9074289.8341086656</v>
      </c>
      <c r="AE240" s="184">
        <f t="shared" si="575"/>
        <v>-156243.35132930777</v>
      </c>
      <c r="AF240" s="184">
        <f t="shared" si="575"/>
        <v>-203116.77910889059</v>
      </c>
      <c r="AG240" s="184">
        <f t="shared" si="575"/>
        <v>-204986.03212208502</v>
      </c>
    </row>
    <row r="241" spans="1:33" x14ac:dyDescent="0.3">
      <c r="M241" s="210"/>
      <c r="N241" s="168"/>
      <c r="O241" s="182">
        <f t="shared" si="609"/>
        <v>11261108.001279948</v>
      </c>
      <c r="P241" s="195">
        <f t="shared" si="609"/>
        <v>99578.984897193572</v>
      </c>
      <c r="Q241" s="184">
        <f t="shared" si="609"/>
        <v>4884.7691600480512</v>
      </c>
      <c r="R241" s="184">
        <f t="shared" si="609"/>
        <v>300.33646922637735</v>
      </c>
      <c r="T241" s="182">
        <f t="shared" si="576"/>
        <v>11202012.001279948</v>
      </c>
      <c r="U241" s="183">
        <f t="shared" si="573"/>
        <v>89397.984897193572</v>
      </c>
      <c r="V241" s="184">
        <f t="shared" si="573"/>
        <v>-3940.2308399519488</v>
      </c>
      <c r="W241" s="184">
        <f t="shared" si="573"/>
        <v>-8447.6635307736233</v>
      </c>
      <c r="Y241" s="182">
        <f t="shared" si="577"/>
        <v>11136668.001279948</v>
      </c>
      <c r="Z241" s="183">
        <f t="shared" si="578"/>
        <v>82741.984897193572</v>
      </c>
      <c r="AA241" s="184">
        <f t="shared" si="579"/>
        <v>-8970.2308399519497</v>
      </c>
      <c r="AB241" s="184">
        <f t="shared" si="580"/>
        <v>-13384.663530773623</v>
      </c>
      <c r="AC241" s="101"/>
      <c r="AD241" s="182">
        <f t="shared" si="581"/>
        <v>9394508.0012799483</v>
      </c>
      <c r="AE241" s="184">
        <f t="shared" si="575"/>
        <v>-152976.01510280644</v>
      </c>
      <c r="AF241" s="184">
        <f t="shared" si="575"/>
        <v>-202940.23083995195</v>
      </c>
      <c r="AG241" s="184">
        <f t="shared" si="575"/>
        <v>-204974.66353077363</v>
      </c>
    </row>
    <row r="242" spans="1:33" x14ac:dyDescent="0.3">
      <c r="M242" s="111"/>
      <c r="N242" s="8"/>
      <c r="O242" s="194">
        <f t="shared" si="609"/>
        <v>11365441.518393217</v>
      </c>
      <c r="P242" s="196">
        <f t="shared" si="609"/>
        <v>100643.54873226212</v>
      </c>
      <c r="Q242" s="197">
        <f t="shared" si="609"/>
        <v>4942.2921357160021</v>
      </c>
      <c r="R242" s="197">
        <f t="shared" si="609"/>
        <v>304.04058485048228</v>
      </c>
      <c r="T242" s="194">
        <f t="shared" si="576"/>
        <v>11306345.518393217</v>
      </c>
      <c r="U242" s="193">
        <f t="shared" si="573"/>
        <v>90462.548732262119</v>
      </c>
      <c r="V242" s="197">
        <f t="shared" si="573"/>
        <v>-3882.7078642839979</v>
      </c>
      <c r="W242" s="197">
        <f t="shared" si="573"/>
        <v>-8443.9594151495185</v>
      </c>
      <c r="Y242" s="194">
        <f t="shared" si="577"/>
        <v>11241001.518393217</v>
      </c>
      <c r="Z242" s="193">
        <f t="shared" si="578"/>
        <v>83806.548732262119</v>
      </c>
      <c r="AA242" s="197">
        <f t="shared" si="579"/>
        <v>-8912.7078642839988</v>
      </c>
      <c r="AB242" s="197">
        <f t="shared" si="580"/>
        <v>-13380.959415149518</v>
      </c>
      <c r="AC242" s="101"/>
      <c r="AD242" s="194">
        <f t="shared" si="581"/>
        <v>9498841.5183932167</v>
      </c>
      <c r="AE242" s="197">
        <f t="shared" si="575"/>
        <v>-151911.4512677379</v>
      </c>
      <c r="AF242" s="197">
        <f t="shared" si="575"/>
        <v>-202882.70786428399</v>
      </c>
      <c r="AG242" s="197">
        <f t="shared" si="575"/>
        <v>-204970.95941514953</v>
      </c>
    </row>
    <row r="243" spans="1:33" s="217" customFormat="1" x14ac:dyDescent="0.3">
      <c r="M243" s="237"/>
      <c r="N243" s="207"/>
      <c r="O243" s="182">
        <f>O86*(O133+O137)</f>
        <v>3408358.1097902437</v>
      </c>
      <c r="P243" s="183">
        <f t="shared" ref="P243:R243" si="610">P86*(P133+P137)</f>
        <v>29750.481983867423</v>
      </c>
      <c r="Q243" s="184">
        <f t="shared" si="610"/>
        <v>1444.8704362278245</v>
      </c>
      <c r="R243" s="184">
        <f t="shared" si="610"/>
        <v>88.378570667814785</v>
      </c>
      <c r="T243" s="182">
        <f t="shared" ref="T243" si="611">O243-T$147</f>
        <v>3349262.1097902437</v>
      </c>
      <c r="U243" s="183">
        <f t="shared" ref="U243" si="612">P243-U$147</f>
        <v>19569.481983867423</v>
      </c>
      <c r="V243" s="184">
        <f t="shared" ref="V243" si="613">Q243-V$147</f>
        <v>-7380.129563772176</v>
      </c>
      <c r="W243" s="184">
        <f t="shared" ref="W243" si="614">R243-W$147</f>
        <v>-8659.6214293321846</v>
      </c>
      <c r="Y243" s="182">
        <f t="shared" ref="Y243" si="615">O243-Y$230</f>
        <v>3283918.1097902437</v>
      </c>
      <c r="Z243" s="183">
        <f t="shared" ref="Z243" si="616">P243-Z$230</f>
        <v>12913.481983867423</v>
      </c>
      <c r="AA243" s="184">
        <f t="shared" ref="AA243" si="617">Q243-AA$230</f>
        <v>-12410.129563772176</v>
      </c>
      <c r="AB243" s="184">
        <f t="shared" ref="AB243" si="618">R243-AB$230</f>
        <v>-13596.621429332185</v>
      </c>
      <c r="AC243" s="101"/>
      <c r="AD243" s="182">
        <f t="shared" ref="AD243" si="619">O243-AD$230</f>
        <v>1541758.1097902437</v>
      </c>
      <c r="AE243" s="184">
        <f t="shared" ref="AE243" si="620">P243-AE$230</f>
        <v>-222804.51801613258</v>
      </c>
      <c r="AF243" s="184">
        <f t="shared" ref="AF243" si="621">Q243-AF$230</f>
        <v>-206380.12956377218</v>
      </c>
      <c r="AG243" s="184">
        <f t="shared" ref="AG243" si="622">R243-AG$230</f>
        <v>-205186.62142933218</v>
      </c>
    </row>
    <row r="244" spans="1:33" ht="28.8" x14ac:dyDescent="0.3">
      <c r="M244" s="210" t="s">
        <v>928</v>
      </c>
      <c r="N244" s="168"/>
      <c r="O244" s="182">
        <f t="shared" ref="O244:R246" si="623">O87*(O134+O138)</f>
        <v>3588986.8032687725</v>
      </c>
      <c r="P244" s="183">
        <f t="shared" si="623"/>
        <v>31593.521305969098</v>
      </c>
      <c r="Q244" s="184">
        <f t="shared" si="623"/>
        <v>1544.4578001678221</v>
      </c>
      <c r="R244" s="184">
        <f t="shared" si="623"/>
        <v>94.791366710615975</v>
      </c>
      <c r="T244" s="182">
        <f t="shared" si="576"/>
        <v>3529890.8032687725</v>
      </c>
      <c r="U244" s="183">
        <f t="shared" si="573"/>
        <v>21412.521305969098</v>
      </c>
      <c r="V244" s="184">
        <f t="shared" si="573"/>
        <v>-7280.5421998321781</v>
      </c>
      <c r="W244" s="184">
        <f t="shared" si="573"/>
        <v>-8653.2086332893832</v>
      </c>
      <c r="Y244" s="182">
        <f t="shared" si="577"/>
        <v>3464546.8032687725</v>
      </c>
      <c r="Z244" s="183">
        <f t="shared" si="578"/>
        <v>14756.521305969098</v>
      </c>
      <c r="AA244" s="184">
        <f t="shared" si="579"/>
        <v>-12310.542199832178</v>
      </c>
      <c r="AB244" s="184">
        <f t="shared" si="580"/>
        <v>-13590.208633289383</v>
      </c>
      <c r="AC244" s="101"/>
      <c r="AD244" s="182">
        <f t="shared" si="581"/>
        <v>1722386.8032687725</v>
      </c>
      <c r="AE244" s="184">
        <f t="shared" si="575"/>
        <v>-220961.4786940309</v>
      </c>
      <c r="AF244" s="184">
        <f t="shared" si="575"/>
        <v>-206280.54219983218</v>
      </c>
      <c r="AG244" s="184">
        <f t="shared" si="575"/>
        <v>-205180.20863328938</v>
      </c>
    </row>
    <row r="245" spans="1:33" x14ac:dyDescent="0.3">
      <c r="M245" s="210"/>
      <c r="N245" s="168"/>
      <c r="O245" s="182">
        <f t="shared" si="623"/>
        <v>3694029.3357839794</v>
      </c>
      <c r="P245" s="183">
        <f t="shared" si="623"/>
        <v>32665.319557899005</v>
      </c>
      <c r="Q245" s="184">
        <f t="shared" si="623"/>
        <v>1602.3716825821591</v>
      </c>
      <c r="R245" s="184">
        <f t="shared" si="623"/>
        <v>98.520654255506543</v>
      </c>
      <c r="T245" s="182">
        <f t="shared" si="576"/>
        <v>3634933.3357839794</v>
      </c>
      <c r="U245" s="183">
        <f t="shared" si="573"/>
        <v>22484.319557899005</v>
      </c>
      <c r="V245" s="184">
        <f t="shared" si="573"/>
        <v>-7222.6283174178407</v>
      </c>
      <c r="W245" s="184">
        <f t="shared" si="573"/>
        <v>-8649.4793457444939</v>
      </c>
      <c r="Y245" s="182">
        <f t="shared" si="577"/>
        <v>3569589.3357839794</v>
      </c>
      <c r="Z245" s="183">
        <f t="shared" si="578"/>
        <v>15828.319557899005</v>
      </c>
      <c r="AA245" s="184">
        <f t="shared" si="579"/>
        <v>-12252.628317417841</v>
      </c>
      <c r="AB245" s="184">
        <f t="shared" si="580"/>
        <v>-13586.479345744494</v>
      </c>
      <c r="AC245" s="101"/>
      <c r="AD245" s="182">
        <f t="shared" si="581"/>
        <v>1827429.3357839794</v>
      </c>
      <c r="AE245" s="184">
        <f t="shared" si="575"/>
        <v>-219889.680442101</v>
      </c>
      <c r="AF245" s="184">
        <f t="shared" si="575"/>
        <v>-206222.62831741784</v>
      </c>
      <c r="AG245" s="184">
        <f t="shared" si="575"/>
        <v>-205176.4793457445</v>
      </c>
    </row>
    <row r="246" spans="1:33" x14ac:dyDescent="0.3">
      <c r="M246" s="111"/>
      <c r="N246" s="8"/>
      <c r="O246" s="194">
        <f t="shared" si="623"/>
        <v>3728254.3048436954</v>
      </c>
      <c r="P246" s="193">
        <f t="shared" si="623"/>
        <v>33014.532977760609</v>
      </c>
      <c r="Q246" s="197">
        <f t="shared" si="623"/>
        <v>1621.2411898788519</v>
      </c>
      <c r="R246" s="197">
        <f t="shared" si="623"/>
        <v>99.735731118016361</v>
      </c>
      <c r="T246" s="194">
        <f t="shared" si="576"/>
        <v>3669158.3048436954</v>
      </c>
      <c r="U246" s="193">
        <f t="shared" si="573"/>
        <v>22833.532977760609</v>
      </c>
      <c r="V246" s="197">
        <f t="shared" si="573"/>
        <v>-7203.7588101211477</v>
      </c>
      <c r="W246" s="197">
        <f t="shared" si="573"/>
        <v>-8648.2642688819833</v>
      </c>
      <c r="Y246" s="194">
        <f t="shared" si="577"/>
        <v>3603814.3048436954</v>
      </c>
      <c r="Z246" s="193">
        <f t="shared" si="578"/>
        <v>16177.532977760609</v>
      </c>
      <c r="AA246" s="197">
        <f t="shared" si="579"/>
        <v>-12233.758810121148</v>
      </c>
      <c r="AB246" s="197">
        <f t="shared" si="580"/>
        <v>-13585.264268881983</v>
      </c>
      <c r="AC246" s="101"/>
      <c r="AD246" s="194">
        <f t="shared" si="581"/>
        <v>1861654.3048436954</v>
      </c>
      <c r="AE246" s="197">
        <f t="shared" si="575"/>
        <v>-219540.46702223941</v>
      </c>
      <c r="AF246" s="197">
        <f t="shared" si="575"/>
        <v>-206203.75881012116</v>
      </c>
      <c r="AG246" s="197">
        <f t="shared" si="575"/>
        <v>-205175.26426888199</v>
      </c>
    </row>
    <row r="247" spans="1:33" s="217" customFormat="1" x14ac:dyDescent="0.3">
      <c r="M247" s="237"/>
      <c r="N247" s="207"/>
      <c r="O247" s="195">
        <f>O90*(O133+O137)</f>
        <v>517287.08398731792</v>
      </c>
      <c r="P247" s="184">
        <f t="shared" ref="P247:R247" si="624">P90*(P133+P137)</f>
        <v>4515.23565802747</v>
      </c>
      <c r="Q247" s="184">
        <f t="shared" si="624"/>
        <v>219.28822929400823</v>
      </c>
      <c r="R247" s="184">
        <f t="shared" si="624"/>
        <v>13.4132305453474</v>
      </c>
      <c r="T247" s="195">
        <f t="shared" ref="T247" si="625">O247-T$147</f>
        <v>458191.08398731792</v>
      </c>
      <c r="U247" s="184">
        <f t="shared" ref="U247" si="626">P247-U$147</f>
        <v>-5665.76434197253</v>
      </c>
      <c r="V247" s="184">
        <f t="shared" ref="V247" si="627">Q247-V$147</f>
        <v>-8605.7117707059915</v>
      </c>
      <c r="W247" s="184">
        <f t="shared" ref="W247" si="628">R247-W$147</f>
        <v>-8734.5867694546523</v>
      </c>
      <c r="Y247" s="195">
        <f t="shared" ref="Y247" si="629">O247-Y$230</f>
        <v>392847.08398731792</v>
      </c>
      <c r="Z247" s="184">
        <f t="shared" ref="Z247" si="630">P247-Z$230</f>
        <v>-12321.76434197253</v>
      </c>
      <c r="AA247" s="184">
        <f t="shared" ref="AA247" si="631">Q247-AA$230</f>
        <v>-13635.711770705992</v>
      </c>
      <c r="AB247" s="184">
        <f t="shared" ref="AB247" si="632">R247-AB$230</f>
        <v>-13671.586769454652</v>
      </c>
      <c r="AC247" s="101"/>
      <c r="AD247" s="184">
        <f t="shared" ref="AD247" si="633">O247-AD$230</f>
        <v>-1349312.916012682</v>
      </c>
      <c r="AE247" s="184">
        <f t="shared" ref="AE247" si="634">P247-AE$230</f>
        <v>-248039.76434197254</v>
      </c>
      <c r="AF247" s="184">
        <f t="shared" ref="AF247" si="635">Q247-AF$230</f>
        <v>-207605.711770706</v>
      </c>
      <c r="AG247" s="184">
        <f t="shared" ref="AG247" si="636">R247-AG$230</f>
        <v>-205261.58676945465</v>
      </c>
    </row>
    <row r="248" spans="1:33" ht="28.8" x14ac:dyDescent="0.3">
      <c r="M248" s="210" t="s">
        <v>929</v>
      </c>
      <c r="N248" s="168"/>
      <c r="O248" s="195">
        <f t="shared" ref="O248:R250" si="637">O91*(O134+O138)</f>
        <v>544701.13119836571</v>
      </c>
      <c r="P248" s="184">
        <f t="shared" si="637"/>
        <v>4794.9540461467905</v>
      </c>
      <c r="Q248" s="184">
        <f t="shared" si="637"/>
        <v>234.40262028083905</v>
      </c>
      <c r="R248" s="184">
        <f t="shared" si="637"/>
        <v>14.386501680108001</v>
      </c>
      <c r="T248" s="195">
        <f t="shared" si="576"/>
        <v>485605.13119836571</v>
      </c>
      <c r="U248" s="184">
        <f t="shared" si="573"/>
        <v>-5386.0459538532095</v>
      </c>
      <c r="V248" s="184">
        <f t="shared" si="573"/>
        <v>-8590.5973797191618</v>
      </c>
      <c r="W248" s="184">
        <f t="shared" si="573"/>
        <v>-8733.6134983198917</v>
      </c>
      <c r="Y248" s="195">
        <f t="shared" si="577"/>
        <v>420261.13119836571</v>
      </c>
      <c r="Z248" s="184">
        <f t="shared" si="578"/>
        <v>-12042.045953853209</v>
      </c>
      <c r="AA248" s="184">
        <f t="shared" si="579"/>
        <v>-13620.597379719162</v>
      </c>
      <c r="AB248" s="184">
        <f t="shared" si="580"/>
        <v>-13670.613498319892</v>
      </c>
      <c r="AC248" s="101"/>
      <c r="AD248" s="184">
        <f t="shared" si="581"/>
        <v>-1321898.8688016343</v>
      </c>
      <c r="AE248" s="184">
        <f t="shared" si="575"/>
        <v>-247760.0459538532</v>
      </c>
      <c r="AF248" s="184">
        <f t="shared" si="575"/>
        <v>-207590.59737971917</v>
      </c>
      <c r="AG248" s="184">
        <f t="shared" si="575"/>
        <v>-205260.6134983199</v>
      </c>
    </row>
    <row r="249" spans="1:33" x14ac:dyDescent="0.3">
      <c r="A249" s="145"/>
      <c r="B249" s="145"/>
      <c r="C249" s="145"/>
      <c r="D249" s="145"/>
      <c r="E249" s="163"/>
      <c r="F249" s="181"/>
      <c r="G249" s="163"/>
      <c r="H249" s="145"/>
      <c r="I249" s="145"/>
      <c r="M249" s="210"/>
      <c r="N249" s="168"/>
      <c r="O249" s="195">
        <f t="shared" si="637"/>
        <v>560643.45403802127</v>
      </c>
      <c r="P249" s="184">
        <f t="shared" si="637"/>
        <v>4957.6210472377197</v>
      </c>
      <c r="Q249" s="184">
        <f t="shared" si="637"/>
        <v>243.19221996241134</v>
      </c>
      <c r="R249" s="184">
        <f t="shared" si="637"/>
        <v>14.952496278476476</v>
      </c>
      <c r="T249" s="195">
        <f t="shared" si="576"/>
        <v>501547.45403802127</v>
      </c>
      <c r="U249" s="184">
        <f t="shared" si="573"/>
        <v>-5223.3789527622803</v>
      </c>
      <c r="V249" s="184">
        <f t="shared" si="573"/>
        <v>-8581.8077800375886</v>
      </c>
      <c r="W249" s="184">
        <f t="shared" si="573"/>
        <v>-8733.0475037215238</v>
      </c>
      <c r="Y249" s="195">
        <f t="shared" si="577"/>
        <v>436203.45403802127</v>
      </c>
      <c r="Z249" s="184">
        <f t="shared" si="578"/>
        <v>-11879.378952762279</v>
      </c>
      <c r="AA249" s="184">
        <f t="shared" si="579"/>
        <v>-13611.807780037589</v>
      </c>
      <c r="AB249" s="184">
        <f t="shared" si="580"/>
        <v>-13670.047503721524</v>
      </c>
      <c r="AC249" s="101"/>
      <c r="AD249" s="184">
        <f t="shared" si="581"/>
        <v>-1305956.5459619788</v>
      </c>
      <c r="AE249" s="184">
        <f t="shared" si="575"/>
        <v>-247597.37895276229</v>
      </c>
      <c r="AF249" s="184">
        <f t="shared" si="575"/>
        <v>-207581.80778003758</v>
      </c>
      <c r="AG249" s="184">
        <f t="shared" si="575"/>
        <v>-205260.04750372152</v>
      </c>
    </row>
    <row r="250" spans="1:33" x14ac:dyDescent="0.3">
      <c r="A250" s="146"/>
      <c r="B250" s="145"/>
      <c r="C250" s="145"/>
      <c r="D250" s="145"/>
      <c r="E250" s="345"/>
      <c r="F250" s="211"/>
      <c r="G250" s="211"/>
      <c r="H250" s="145"/>
      <c r="I250" s="145"/>
      <c r="M250" s="111"/>
      <c r="N250" s="8"/>
      <c r="O250" s="196">
        <f t="shared" si="637"/>
        <v>565837.78335265606</v>
      </c>
      <c r="P250" s="197">
        <f t="shared" si="637"/>
        <v>5010.6212267466044</v>
      </c>
      <c r="Q250" s="197">
        <f t="shared" si="637"/>
        <v>246.05604826077763</v>
      </c>
      <c r="R250" s="197">
        <f t="shared" si="637"/>
        <v>15.136908698410497</v>
      </c>
      <c r="T250" s="196">
        <f t="shared" si="576"/>
        <v>506741.78335265606</v>
      </c>
      <c r="U250" s="197">
        <f t="shared" si="573"/>
        <v>-5170.3787732533956</v>
      </c>
      <c r="V250" s="197">
        <f t="shared" si="573"/>
        <v>-8578.943951739222</v>
      </c>
      <c r="W250" s="197">
        <f t="shared" si="573"/>
        <v>-8732.8630913015895</v>
      </c>
      <c r="Y250" s="196">
        <f t="shared" si="577"/>
        <v>441397.78335265606</v>
      </c>
      <c r="Z250" s="197">
        <f t="shared" si="578"/>
        <v>-11826.378773253397</v>
      </c>
      <c r="AA250" s="197">
        <f t="shared" si="579"/>
        <v>-13608.943951739222</v>
      </c>
      <c r="AB250" s="197">
        <f t="shared" si="580"/>
        <v>-13669.86309130159</v>
      </c>
      <c r="AC250" s="101"/>
      <c r="AD250" s="197">
        <f t="shared" si="581"/>
        <v>-1300762.2166473439</v>
      </c>
      <c r="AE250" s="197">
        <f t="shared" si="575"/>
        <v>-247544.37877325338</v>
      </c>
      <c r="AF250" s="197">
        <f t="shared" si="575"/>
        <v>-207578.94395173923</v>
      </c>
      <c r="AG250" s="197">
        <f t="shared" si="575"/>
        <v>-205259.86309130158</v>
      </c>
    </row>
    <row r="251" spans="1:33" s="217" customFormat="1" x14ac:dyDescent="0.3">
      <c r="A251" s="146"/>
      <c r="B251" s="145"/>
      <c r="C251" s="145"/>
      <c r="D251" s="145"/>
      <c r="E251" s="345"/>
      <c r="F251" s="211"/>
      <c r="G251" s="211"/>
      <c r="H251" s="145"/>
      <c r="I251" s="145"/>
      <c r="M251" s="237"/>
      <c r="N251" s="207"/>
      <c r="O251" s="184">
        <f>O94*(O133+O137)</f>
        <v>2967.2299272695104</v>
      </c>
      <c r="P251" s="184">
        <f t="shared" ref="P251:R251" si="638">P94*(P133+P137)</f>
        <v>25.9000133347656</v>
      </c>
      <c r="Q251" s="184">
        <f t="shared" si="638"/>
        <v>1.2578674720497602</v>
      </c>
      <c r="R251" s="184">
        <f t="shared" si="638"/>
        <v>7.6940136971399994E-2</v>
      </c>
      <c r="T251" s="184">
        <f t="shared" ref="T251" si="639">O251-T$147</f>
        <v>-56128.770072730491</v>
      </c>
      <c r="U251" s="184">
        <f t="shared" ref="U251" si="640">P251-U$147</f>
        <v>-10155.099986665235</v>
      </c>
      <c r="V251" s="184">
        <f t="shared" ref="V251" si="641">Q251-V$147</f>
        <v>-8823.7421325279502</v>
      </c>
      <c r="W251" s="184">
        <f t="shared" ref="W251" si="642">R251-W$147</f>
        <v>-8747.9230598630293</v>
      </c>
      <c r="Y251" s="184">
        <f t="shared" ref="Y251" si="643">O251-Y$230</f>
        <v>-121472.77007273049</v>
      </c>
      <c r="Z251" s="184">
        <f t="shared" ref="Z251" si="644">P251-Z$230</f>
        <v>-16811.099986665235</v>
      </c>
      <c r="AA251" s="184">
        <f t="shared" ref="AA251" si="645">Q251-AA$230</f>
        <v>-13853.74213252795</v>
      </c>
      <c r="AB251" s="184">
        <f t="shared" ref="AB251" si="646">R251-AB$230</f>
        <v>-13684.923059863029</v>
      </c>
      <c r="AC251" s="101"/>
      <c r="AD251" s="184">
        <f t="shared" ref="AD251" si="647">O251-AD$230</f>
        <v>-1863632.7700727305</v>
      </c>
      <c r="AE251" s="184">
        <f t="shared" ref="AE251" si="648">P251-AE$230</f>
        <v>-252529.09998666524</v>
      </c>
      <c r="AF251" s="184">
        <f t="shared" ref="AF251" si="649">Q251-AF$230</f>
        <v>-207823.74213252796</v>
      </c>
      <c r="AG251" s="184">
        <f t="shared" ref="AG251" si="650">R251-AG$230</f>
        <v>-205274.92305986304</v>
      </c>
    </row>
    <row r="252" spans="1:33" x14ac:dyDescent="0.3">
      <c r="A252" s="145"/>
      <c r="B252" s="145"/>
      <c r="C252" s="145"/>
      <c r="D252" s="145"/>
      <c r="E252" s="345"/>
      <c r="F252" s="211"/>
      <c r="G252" s="211"/>
      <c r="H252" s="145"/>
      <c r="I252" s="145"/>
      <c r="M252" s="210" t="s">
        <v>827</v>
      </c>
      <c r="N252" s="168"/>
      <c r="O252" s="184">
        <f t="shared" ref="O252:R254" si="651">O95*(O134+O138)</f>
        <v>3124.4806760900528</v>
      </c>
      <c r="P252" s="184">
        <f t="shared" si="651"/>
        <v>27.504516517094402</v>
      </c>
      <c r="Q252" s="184">
        <f t="shared" si="651"/>
        <v>1.3445656995076805</v>
      </c>
      <c r="R252" s="184">
        <f t="shared" si="651"/>
        <v>8.2522954188E-2</v>
      </c>
      <c r="T252" s="184">
        <f t="shared" si="576"/>
        <v>-55971.519323909946</v>
      </c>
      <c r="U252" s="184">
        <f t="shared" si="573"/>
        <v>-10153.495483482906</v>
      </c>
      <c r="V252" s="184">
        <f t="shared" si="573"/>
        <v>-8823.6554343004918</v>
      </c>
      <c r="W252" s="184">
        <f t="shared" si="573"/>
        <v>-8747.9174770458121</v>
      </c>
      <c r="Y252" s="184">
        <f t="shared" si="577"/>
        <v>-121315.51932390995</v>
      </c>
      <c r="Z252" s="184">
        <f t="shared" si="578"/>
        <v>-16809.495483482904</v>
      </c>
      <c r="AA252" s="184">
        <f t="shared" si="579"/>
        <v>-13853.655434300492</v>
      </c>
      <c r="AB252" s="184">
        <f t="shared" si="580"/>
        <v>-13684.917477045812</v>
      </c>
      <c r="AC252" s="101"/>
      <c r="AD252" s="184">
        <f t="shared" si="581"/>
        <v>-1863475.5193239099</v>
      </c>
      <c r="AE252" s="184">
        <f t="shared" si="575"/>
        <v>-252527.4954834829</v>
      </c>
      <c r="AF252" s="184">
        <f t="shared" si="575"/>
        <v>-207823.65543430048</v>
      </c>
      <c r="AG252" s="184">
        <f t="shared" si="575"/>
        <v>-205274.91747704582</v>
      </c>
    </row>
    <row r="253" spans="1:33" x14ac:dyDescent="0.3">
      <c r="A253" s="145"/>
      <c r="B253" s="145"/>
      <c r="C253" s="145"/>
      <c r="D253" s="145"/>
      <c r="E253" s="345"/>
      <c r="F253" s="211"/>
      <c r="G253" s="211"/>
      <c r="H253" s="145"/>
      <c r="I253" s="145"/>
      <c r="M253" s="209" t="s">
        <v>925</v>
      </c>
      <c r="N253" s="168"/>
      <c r="O253" s="184">
        <f t="shared" si="651"/>
        <v>3215.9280346349215</v>
      </c>
      <c r="P253" s="184">
        <f t="shared" si="651"/>
        <v>28.43759682927946</v>
      </c>
      <c r="Q253" s="184">
        <f t="shared" si="651"/>
        <v>1.3949840533216709</v>
      </c>
      <c r="R253" s="184">
        <f t="shared" si="651"/>
        <v>8.5769577123192026E-2</v>
      </c>
      <c r="T253" s="184">
        <f t="shared" si="576"/>
        <v>-55880.071965365081</v>
      </c>
      <c r="U253" s="184">
        <f t="shared" ref="U253:U254" si="652">P253-U$147</f>
        <v>-10152.562403170721</v>
      </c>
      <c r="V253" s="184">
        <f t="shared" ref="V253:V254" si="653">Q253-V$147</f>
        <v>-8823.6050159466777</v>
      </c>
      <c r="W253" s="184">
        <f t="shared" ref="W253:W254" si="654">R253-W$147</f>
        <v>-8747.9142304228772</v>
      </c>
      <c r="Y253" s="184">
        <f t="shared" si="577"/>
        <v>-121224.07196536507</v>
      </c>
      <c r="Z253" s="184">
        <f t="shared" si="578"/>
        <v>-16808.562403170719</v>
      </c>
      <c r="AA253" s="184">
        <f t="shared" si="579"/>
        <v>-13853.605015946678</v>
      </c>
      <c r="AB253" s="184">
        <f t="shared" si="580"/>
        <v>-13684.914230422877</v>
      </c>
      <c r="AC253" s="101"/>
      <c r="AD253" s="184">
        <f t="shared" si="581"/>
        <v>-1863384.071965365</v>
      </c>
      <c r="AE253" s="184">
        <f t="shared" ref="AE253:AE254" si="655">P253-AE$230</f>
        <v>-252526.56240317071</v>
      </c>
      <c r="AF253" s="184">
        <f t="shared" ref="AF253:AF254" si="656">Q253-AF$230</f>
        <v>-207823.60501594667</v>
      </c>
      <c r="AG253" s="184">
        <f t="shared" ref="AG253:AG254" si="657">R253-AG$230</f>
        <v>-205274.91423042287</v>
      </c>
    </row>
    <row r="254" spans="1:33" x14ac:dyDescent="0.3">
      <c r="A254" s="145"/>
      <c r="B254" s="145"/>
      <c r="C254" s="145"/>
      <c r="D254" s="145"/>
      <c r="E254" s="345"/>
      <c r="F254" s="211"/>
      <c r="G254" s="211"/>
      <c r="H254" s="145"/>
      <c r="I254" s="145"/>
      <c r="M254" s="8"/>
      <c r="N254" s="8"/>
      <c r="O254" s="184">
        <f t="shared" si="651"/>
        <v>3245.7234226729797</v>
      </c>
      <c r="P254" s="184">
        <f t="shared" si="651"/>
        <v>28.741613155334253</v>
      </c>
      <c r="Q254" s="184">
        <f t="shared" si="651"/>
        <v>1.4114113666966208</v>
      </c>
      <c r="R254" s="184">
        <f t="shared" si="651"/>
        <v>8.6827392151494251E-2</v>
      </c>
      <c r="T254" s="197">
        <f t="shared" si="576"/>
        <v>-55850.276577327022</v>
      </c>
      <c r="U254" s="197">
        <f t="shared" si="652"/>
        <v>-10152.258386844665</v>
      </c>
      <c r="V254" s="197">
        <f t="shared" si="653"/>
        <v>-8823.5885886333035</v>
      </c>
      <c r="W254" s="197">
        <f t="shared" si="654"/>
        <v>-8747.9131726078485</v>
      </c>
      <c r="Y254" s="184">
        <f t="shared" si="577"/>
        <v>-121194.27657732702</v>
      </c>
      <c r="Z254" s="184">
        <f t="shared" si="578"/>
        <v>-16808.258386844667</v>
      </c>
      <c r="AA254" s="184">
        <f t="shared" si="579"/>
        <v>-13853.588588633304</v>
      </c>
      <c r="AB254" s="184">
        <f t="shared" si="580"/>
        <v>-13684.913172607849</v>
      </c>
      <c r="AC254" s="101"/>
      <c r="AD254" s="184">
        <f t="shared" si="581"/>
        <v>-1863354.2765773269</v>
      </c>
      <c r="AE254" s="184">
        <f t="shared" si="655"/>
        <v>-252526.25838684465</v>
      </c>
      <c r="AF254" s="184">
        <f t="shared" si="656"/>
        <v>-207823.58858863331</v>
      </c>
      <c r="AG254" s="184">
        <f t="shared" si="657"/>
        <v>-205274.91317260783</v>
      </c>
    </row>
    <row r="255" spans="1:33" x14ac:dyDescent="0.3">
      <c r="A255" s="145"/>
      <c r="B255" s="145"/>
      <c r="C255" s="145"/>
      <c r="D255" s="145"/>
      <c r="E255" s="145"/>
      <c r="F255" s="211"/>
      <c r="G255" s="211"/>
      <c r="H255" s="145"/>
      <c r="I255" s="145"/>
      <c r="O255" s="101"/>
    </row>
    <row r="256" spans="1:33" x14ac:dyDescent="0.3">
      <c r="A256" s="146"/>
      <c r="B256" s="145"/>
      <c r="C256" s="145"/>
      <c r="D256" s="145"/>
      <c r="E256" s="345"/>
      <c r="F256" s="211"/>
      <c r="G256" s="211"/>
      <c r="H256" s="145"/>
      <c r="I256" s="145"/>
    </row>
    <row r="257" spans="1:9" x14ac:dyDescent="0.3">
      <c r="A257" s="145"/>
      <c r="B257" s="145"/>
      <c r="C257" s="145"/>
      <c r="D257" s="145"/>
      <c r="E257" s="345"/>
      <c r="F257" s="211"/>
      <c r="G257" s="211"/>
      <c r="H257" s="145"/>
      <c r="I257" s="145"/>
    </row>
    <row r="258" spans="1:9" x14ac:dyDescent="0.3">
      <c r="A258" s="145"/>
      <c r="B258" s="145"/>
      <c r="C258" s="145"/>
      <c r="D258" s="145"/>
      <c r="E258" s="345"/>
      <c r="F258" s="211"/>
      <c r="G258" s="211"/>
      <c r="H258" s="145"/>
      <c r="I258" s="145"/>
    </row>
    <row r="259" spans="1:9" x14ac:dyDescent="0.3">
      <c r="A259" s="145"/>
      <c r="B259" s="145"/>
      <c r="C259" s="145"/>
      <c r="D259" s="145"/>
      <c r="E259" s="345"/>
      <c r="F259" s="211"/>
      <c r="G259" s="211"/>
      <c r="H259" s="145"/>
      <c r="I259" s="145"/>
    </row>
    <row r="260" spans="1:9" x14ac:dyDescent="0.3">
      <c r="A260" s="145"/>
      <c r="B260" s="145"/>
      <c r="C260" s="145"/>
      <c r="D260" s="145"/>
      <c r="E260" s="145"/>
      <c r="F260" s="211"/>
      <c r="G260" s="211"/>
      <c r="H260" s="145"/>
      <c r="I260" s="145"/>
    </row>
    <row r="261" spans="1:9" x14ac:dyDescent="0.3">
      <c r="A261" s="146"/>
      <c r="B261" s="145"/>
      <c r="C261" s="145"/>
      <c r="D261" s="145"/>
      <c r="E261" s="345"/>
      <c r="F261" s="211"/>
      <c r="G261" s="211"/>
      <c r="H261" s="145"/>
      <c r="I261" s="145"/>
    </row>
    <row r="262" spans="1:9" x14ac:dyDescent="0.3">
      <c r="A262" s="145"/>
      <c r="B262" s="145"/>
      <c r="C262" s="145"/>
      <c r="D262" s="145"/>
      <c r="E262" s="345"/>
      <c r="F262" s="211"/>
      <c r="G262" s="211"/>
      <c r="H262" s="145"/>
      <c r="I262" s="145"/>
    </row>
    <row r="263" spans="1:9" x14ac:dyDescent="0.3">
      <c r="A263" s="145"/>
      <c r="B263" s="145"/>
      <c r="C263" s="145"/>
      <c r="D263" s="145"/>
      <c r="E263" s="345"/>
      <c r="F263" s="211"/>
      <c r="G263" s="211"/>
      <c r="H263" s="145"/>
      <c r="I263" s="145"/>
    </row>
    <row r="264" spans="1:9" x14ac:dyDescent="0.3">
      <c r="A264" s="145"/>
      <c r="B264" s="145"/>
      <c r="C264" s="145"/>
      <c r="D264" s="145"/>
      <c r="E264" s="345"/>
      <c r="F264" s="211"/>
      <c r="G264" s="211"/>
      <c r="H264" s="145"/>
      <c r="I264" s="145"/>
    </row>
    <row r="265" spans="1:9" x14ac:dyDescent="0.3">
      <c r="A265" s="145"/>
      <c r="B265" s="145"/>
      <c r="C265" s="145"/>
      <c r="D265" s="145"/>
      <c r="E265" s="145"/>
      <c r="F265" s="145"/>
      <c r="G265" s="145"/>
      <c r="H265" s="145"/>
      <c r="I265" s="145"/>
    </row>
    <row r="266" spans="1:9" x14ac:dyDescent="0.3">
      <c r="A266" s="145"/>
      <c r="B266" s="145"/>
      <c r="C266" s="145"/>
      <c r="D266" s="145"/>
      <c r="E266" s="145"/>
      <c r="F266" s="145"/>
      <c r="G266" s="145"/>
      <c r="H266" s="145"/>
      <c r="I266" s="145"/>
    </row>
    <row r="267" spans="1:9" x14ac:dyDescent="0.3">
      <c r="A267" s="145"/>
      <c r="B267" s="145"/>
      <c r="C267" s="145"/>
      <c r="D267" s="145"/>
      <c r="E267" s="145"/>
      <c r="F267" s="145"/>
      <c r="G267" s="145"/>
      <c r="H267" s="145"/>
      <c r="I267" s="145"/>
    </row>
    <row r="268" spans="1:9" s="210" customFormat="1" x14ac:dyDescent="0.3">
      <c r="A268" s="79"/>
      <c r="B268" s="79"/>
      <c r="C268" s="79"/>
      <c r="D268" s="79"/>
      <c r="E268" s="181"/>
      <c r="F268" s="181"/>
      <c r="G268" s="181"/>
      <c r="H268" s="181"/>
      <c r="I268" s="181"/>
    </row>
    <row r="269" spans="1:9" x14ac:dyDescent="0.3">
      <c r="A269" s="146"/>
      <c r="B269" s="145"/>
      <c r="C269" s="145"/>
      <c r="D269" s="145"/>
      <c r="E269" s="345"/>
      <c r="F269" s="346"/>
      <c r="G269" s="347"/>
      <c r="H269" s="347"/>
      <c r="I269" s="348"/>
    </row>
    <row r="270" spans="1:9" x14ac:dyDescent="0.3">
      <c r="A270" s="145"/>
      <c r="B270" s="145"/>
      <c r="C270" s="145"/>
      <c r="D270" s="145"/>
      <c r="E270" s="345"/>
      <c r="F270" s="346"/>
      <c r="G270" s="347"/>
      <c r="H270" s="347"/>
      <c r="I270" s="348"/>
    </row>
    <row r="271" spans="1:9" x14ac:dyDescent="0.3">
      <c r="A271" s="145"/>
      <c r="B271" s="145"/>
      <c r="C271" s="145"/>
      <c r="D271" s="145"/>
      <c r="E271" s="345"/>
      <c r="F271" s="346"/>
      <c r="G271" s="347"/>
      <c r="H271" s="347"/>
      <c r="I271" s="348"/>
    </row>
    <row r="272" spans="1:9" x14ac:dyDescent="0.3">
      <c r="A272" s="145"/>
      <c r="B272" s="145"/>
      <c r="C272" s="145"/>
      <c r="D272" s="145"/>
      <c r="E272" s="345"/>
      <c r="F272" s="346"/>
      <c r="G272" s="347"/>
      <c r="H272" s="347"/>
      <c r="I272" s="348"/>
    </row>
    <row r="273" spans="1:9" x14ac:dyDescent="0.3">
      <c r="A273" s="145"/>
      <c r="B273" s="145"/>
      <c r="C273" s="145"/>
      <c r="D273" s="145"/>
      <c r="E273" s="145"/>
      <c r="F273" s="349"/>
      <c r="G273" s="145"/>
      <c r="H273" s="145"/>
      <c r="I273" s="145"/>
    </row>
    <row r="274" spans="1:9" x14ac:dyDescent="0.3">
      <c r="A274" s="146"/>
      <c r="B274" s="145"/>
      <c r="C274" s="145"/>
      <c r="D274" s="145"/>
      <c r="E274" s="345"/>
      <c r="F274" s="346"/>
      <c r="G274" s="347"/>
      <c r="H274" s="347"/>
      <c r="I274" s="348"/>
    </row>
    <row r="275" spans="1:9" x14ac:dyDescent="0.3">
      <c r="A275" s="145"/>
      <c r="B275" s="145"/>
      <c r="C275" s="145"/>
      <c r="D275" s="145"/>
      <c r="E275" s="345"/>
      <c r="F275" s="346"/>
      <c r="G275" s="347"/>
      <c r="H275" s="347"/>
      <c r="I275" s="348"/>
    </row>
    <row r="276" spans="1:9" x14ac:dyDescent="0.3">
      <c r="A276" s="145"/>
      <c r="B276" s="145"/>
      <c r="C276" s="145"/>
      <c r="D276" s="145"/>
      <c r="E276" s="345"/>
      <c r="F276" s="346"/>
      <c r="G276" s="347"/>
      <c r="H276" s="347"/>
      <c r="I276" s="348"/>
    </row>
    <row r="277" spans="1:9" x14ac:dyDescent="0.3">
      <c r="A277" s="145"/>
      <c r="B277" s="145"/>
      <c r="C277" s="145"/>
      <c r="D277" s="145"/>
      <c r="E277" s="345"/>
      <c r="F277" s="346"/>
      <c r="G277" s="347"/>
      <c r="H277" s="347"/>
      <c r="I277" s="348"/>
    </row>
    <row r="278" spans="1:9" x14ac:dyDescent="0.3">
      <c r="A278" s="145"/>
      <c r="B278" s="145"/>
      <c r="C278" s="145"/>
      <c r="D278" s="145"/>
      <c r="E278" s="145"/>
      <c r="F278" s="349"/>
      <c r="G278" s="145"/>
      <c r="H278" s="145"/>
      <c r="I278" s="145"/>
    </row>
    <row r="279" spans="1:9" x14ac:dyDescent="0.3">
      <c r="A279" s="146"/>
      <c r="B279" s="145"/>
      <c r="C279" s="145"/>
      <c r="D279" s="145"/>
      <c r="E279" s="345"/>
      <c r="F279" s="346"/>
      <c r="G279" s="347"/>
      <c r="H279" s="347"/>
      <c r="I279" s="348"/>
    </row>
    <row r="280" spans="1:9" x14ac:dyDescent="0.3">
      <c r="A280" s="145"/>
      <c r="B280" s="145"/>
      <c r="C280" s="145"/>
      <c r="D280" s="145"/>
      <c r="E280" s="345"/>
      <c r="F280" s="346"/>
      <c r="G280" s="347"/>
      <c r="H280" s="347"/>
      <c r="I280" s="348"/>
    </row>
    <row r="281" spans="1:9" x14ac:dyDescent="0.3">
      <c r="A281" s="145"/>
      <c r="B281" s="145"/>
      <c r="C281" s="145"/>
      <c r="D281" s="145"/>
      <c r="E281" s="345"/>
      <c r="F281" s="346"/>
      <c r="G281" s="347"/>
      <c r="H281" s="347"/>
      <c r="I281" s="348"/>
    </row>
    <row r="282" spans="1:9" x14ac:dyDescent="0.3">
      <c r="A282" s="145"/>
      <c r="B282" s="145"/>
      <c r="C282" s="145"/>
      <c r="D282" s="145"/>
      <c r="E282" s="345"/>
      <c r="F282" s="346"/>
      <c r="G282" s="347"/>
      <c r="H282" s="347"/>
      <c r="I282" s="348"/>
    </row>
    <row r="283" spans="1:9" x14ac:dyDescent="0.3">
      <c r="A283" s="145"/>
      <c r="B283" s="145"/>
      <c r="C283" s="145"/>
      <c r="D283" s="145"/>
      <c r="E283" s="145"/>
      <c r="F283" s="145"/>
      <c r="G283" s="145"/>
      <c r="H283" s="145"/>
      <c r="I283" s="145"/>
    </row>
    <row r="284" spans="1:9" x14ac:dyDescent="0.3">
      <c r="A284" s="145"/>
      <c r="B284" s="145"/>
      <c r="C284" s="145"/>
      <c r="D284" s="145"/>
      <c r="E284" s="145"/>
      <c r="F284" s="145"/>
      <c r="G284" s="145"/>
      <c r="H284" s="145"/>
      <c r="I284" s="145"/>
    </row>
    <row r="285" spans="1:9" x14ac:dyDescent="0.3">
      <c r="A285" s="145"/>
      <c r="B285" s="145"/>
      <c r="C285" s="145"/>
      <c r="D285" s="145"/>
      <c r="E285" s="145"/>
      <c r="F285" s="145"/>
      <c r="G285" s="145"/>
      <c r="H285" s="145"/>
      <c r="I285" s="145"/>
    </row>
    <row r="286" spans="1:9" x14ac:dyDescent="0.3">
      <c r="A286" s="79"/>
      <c r="B286" s="79"/>
      <c r="C286" s="79"/>
      <c r="D286" s="79"/>
      <c r="E286" s="181"/>
      <c r="F286" s="181"/>
      <c r="G286" s="181"/>
      <c r="H286" s="181"/>
      <c r="I286" s="181"/>
    </row>
    <row r="287" spans="1:9" x14ac:dyDescent="0.3">
      <c r="A287" s="146"/>
      <c r="B287" s="145"/>
      <c r="C287" s="145"/>
      <c r="D287" s="145"/>
      <c r="E287" s="345"/>
      <c r="F287" s="346"/>
      <c r="G287" s="347"/>
      <c r="H287" s="347"/>
      <c r="I287" s="348"/>
    </row>
    <row r="288" spans="1:9" x14ac:dyDescent="0.3">
      <c r="A288" s="145"/>
      <c r="B288" s="145"/>
      <c r="C288" s="145"/>
      <c r="D288" s="145"/>
      <c r="E288" s="345"/>
      <c r="F288" s="346"/>
      <c r="G288" s="347"/>
      <c r="H288" s="347"/>
      <c r="I288" s="348"/>
    </row>
    <row r="289" spans="1:9" x14ac:dyDescent="0.3">
      <c r="A289" s="145"/>
      <c r="B289" s="145"/>
      <c r="C289" s="145"/>
      <c r="D289" s="145"/>
      <c r="E289" s="345"/>
      <c r="F289" s="346"/>
      <c r="G289" s="347"/>
      <c r="H289" s="347"/>
      <c r="I289" s="348"/>
    </row>
    <row r="290" spans="1:9" x14ac:dyDescent="0.3">
      <c r="A290" s="145"/>
      <c r="B290" s="145"/>
      <c r="C290" s="145"/>
      <c r="D290" s="145"/>
      <c r="E290" s="345"/>
      <c r="F290" s="346"/>
      <c r="G290" s="347"/>
      <c r="H290" s="347"/>
      <c r="I290" s="348"/>
    </row>
    <row r="291" spans="1:9" x14ac:dyDescent="0.3">
      <c r="A291" s="145"/>
      <c r="B291" s="145"/>
      <c r="C291" s="145"/>
      <c r="D291" s="145"/>
      <c r="E291" s="145"/>
      <c r="F291" s="349"/>
      <c r="G291" s="145"/>
      <c r="H291" s="145"/>
      <c r="I291" s="145"/>
    </row>
    <row r="292" spans="1:9" x14ac:dyDescent="0.3">
      <c r="A292" s="146"/>
      <c r="B292" s="145"/>
      <c r="C292" s="145"/>
      <c r="D292" s="145"/>
      <c r="E292" s="345"/>
      <c r="F292" s="346"/>
      <c r="G292" s="347"/>
      <c r="H292" s="347"/>
      <c r="I292" s="348"/>
    </row>
    <row r="293" spans="1:9" x14ac:dyDescent="0.3">
      <c r="A293" s="145"/>
      <c r="B293" s="145"/>
      <c r="C293" s="145"/>
      <c r="D293" s="145"/>
      <c r="E293" s="345"/>
      <c r="F293" s="346"/>
      <c r="G293" s="347"/>
      <c r="H293" s="347"/>
      <c r="I293" s="348"/>
    </row>
    <row r="294" spans="1:9" x14ac:dyDescent="0.3">
      <c r="A294" s="145"/>
      <c r="B294" s="145"/>
      <c r="C294" s="145"/>
      <c r="D294" s="145"/>
      <c r="E294" s="345"/>
      <c r="F294" s="346"/>
      <c r="G294" s="347"/>
      <c r="H294" s="347"/>
      <c r="I294" s="348"/>
    </row>
    <row r="295" spans="1:9" x14ac:dyDescent="0.3">
      <c r="A295" s="145"/>
      <c r="B295" s="145"/>
      <c r="C295" s="145"/>
      <c r="D295" s="145"/>
      <c r="E295" s="345"/>
      <c r="F295" s="346"/>
      <c r="G295" s="347"/>
      <c r="H295" s="347"/>
      <c r="I295" s="348"/>
    </row>
    <row r="296" spans="1:9" x14ac:dyDescent="0.3">
      <c r="A296" s="145"/>
      <c r="B296" s="145"/>
      <c r="C296" s="145"/>
      <c r="D296" s="145"/>
      <c r="E296" s="145"/>
      <c r="F296" s="349"/>
      <c r="G296" s="145"/>
      <c r="H296" s="145"/>
      <c r="I296" s="145"/>
    </row>
    <row r="297" spans="1:9" x14ac:dyDescent="0.3">
      <c r="A297" s="146"/>
      <c r="B297" s="145"/>
      <c r="C297" s="145"/>
      <c r="D297" s="145"/>
      <c r="E297" s="345"/>
      <c r="F297" s="346"/>
      <c r="G297" s="347"/>
      <c r="H297" s="347"/>
      <c r="I297" s="348"/>
    </row>
    <row r="298" spans="1:9" x14ac:dyDescent="0.3">
      <c r="A298" s="145"/>
      <c r="B298" s="145"/>
      <c r="C298" s="145"/>
      <c r="D298" s="145"/>
      <c r="E298" s="345"/>
      <c r="F298" s="346"/>
      <c r="G298" s="347"/>
      <c r="H298" s="347"/>
      <c r="I298" s="348"/>
    </row>
    <row r="299" spans="1:9" x14ac:dyDescent="0.3">
      <c r="A299" s="145"/>
      <c r="B299" s="145"/>
      <c r="C299" s="145"/>
      <c r="D299" s="145"/>
      <c r="E299" s="345"/>
      <c r="F299" s="346"/>
      <c r="G299" s="347"/>
      <c r="H299" s="347"/>
      <c r="I299" s="348"/>
    </row>
    <row r="300" spans="1:9" x14ac:dyDescent="0.3">
      <c r="A300" s="145"/>
      <c r="B300" s="145"/>
      <c r="C300" s="145"/>
      <c r="D300" s="145"/>
      <c r="E300" s="345"/>
      <c r="F300" s="346"/>
      <c r="G300" s="347"/>
      <c r="H300" s="347"/>
      <c r="I300" s="348"/>
    </row>
  </sheetData>
  <mergeCells count="3">
    <mergeCell ref="E71:H71"/>
    <mergeCell ref="O72:R72"/>
    <mergeCell ref="O106:R106"/>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271C9-1501-4B3C-96E7-D9C7D162B05B}">
  <dimension ref="A1:BB201"/>
  <sheetViews>
    <sheetView topLeftCell="AJ43" workbookViewId="0">
      <selection activeCell="BB53" sqref="BB53"/>
    </sheetView>
  </sheetViews>
  <sheetFormatPr defaultRowHeight="14.4" x14ac:dyDescent="0.3"/>
  <cols>
    <col min="1" max="1" width="46.33203125" style="221" customWidth="1"/>
    <col min="2" max="2" width="4" style="221" customWidth="1"/>
    <col min="3" max="3" width="25.109375" style="221" customWidth="1"/>
    <col min="4" max="4" width="30.33203125" style="221" customWidth="1"/>
    <col min="5" max="5" width="28.21875" style="221" customWidth="1"/>
    <col min="6" max="6" width="29" style="221" customWidth="1"/>
    <col min="7" max="7" width="17.109375" style="221" customWidth="1"/>
    <col min="8" max="8" width="2.33203125" style="221" customWidth="1"/>
    <col min="9" max="13" width="21.109375" style="221" customWidth="1"/>
    <col min="14" max="14" width="43.6640625" style="221" customWidth="1"/>
    <col min="15" max="18" width="23.88671875" style="221" customWidth="1"/>
    <col min="19" max="16384" width="8.88671875" style="221"/>
  </cols>
  <sheetData>
    <row r="1" spans="1:18" x14ac:dyDescent="0.3">
      <c r="A1" s="86" t="s">
        <v>975</v>
      </c>
      <c r="D1" s="221" t="s">
        <v>872</v>
      </c>
    </row>
    <row r="2" spans="1:18" x14ac:dyDescent="0.3">
      <c r="D2" s="221">
        <v>85530.06</v>
      </c>
      <c r="E2" s="221">
        <v>85530.06</v>
      </c>
      <c r="F2" s="221">
        <v>1368480.96</v>
      </c>
      <c r="G2" s="221">
        <v>1368480.96</v>
      </c>
    </row>
    <row r="3" spans="1:18" x14ac:dyDescent="0.3">
      <c r="A3" s="86" t="s">
        <v>741</v>
      </c>
      <c r="D3" s="221" t="s">
        <v>873</v>
      </c>
    </row>
    <row r="4" spans="1:18" x14ac:dyDescent="0.3">
      <c r="A4" s="86" t="s">
        <v>737</v>
      </c>
      <c r="D4" s="221">
        <v>27878400</v>
      </c>
      <c r="E4" s="221">
        <v>27878400</v>
      </c>
      <c r="F4" s="221">
        <v>27878400</v>
      </c>
      <c r="G4" s="221">
        <v>27878400</v>
      </c>
    </row>
    <row r="5" spans="1:18" x14ac:dyDescent="0.3">
      <c r="C5" s="221" t="s">
        <v>870</v>
      </c>
      <c r="D5" s="221">
        <v>3.0679687499999999E-3</v>
      </c>
      <c r="E5" s="221">
        <v>3.0679687499999999E-3</v>
      </c>
      <c r="F5" s="221">
        <v>4.9087499999999999E-2</v>
      </c>
      <c r="G5" s="221">
        <v>4.9087499999999999E-2</v>
      </c>
      <c r="O5" s="242" t="s">
        <v>779</v>
      </c>
      <c r="P5" s="242"/>
      <c r="Q5" s="242"/>
      <c r="R5" s="242"/>
    </row>
    <row r="6" spans="1:18" x14ac:dyDescent="0.3">
      <c r="C6" s="221" t="s">
        <v>871</v>
      </c>
      <c r="D6" s="221">
        <v>3.3747656249999998</v>
      </c>
      <c r="E6" s="221">
        <v>0.30372890624999999</v>
      </c>
      <c r="F6" s="221">
        <v>0.4417875</v>
      </c>
      <c r="G6" s="221">
        <v>4.9087499999999999E-2</v>
      </c>
      <c r="O6" s="220"/>
      <c r="P6" s="220"/>
      <c r="Q6" s="220"/>
      <c r="R6" s="220"/>
    </row>
    <row r="7" spans="1:18" s="222" customFormat="1" ht="57.6" x14ac:dyDescent="0.3">
      <c r="D7" s="107" t="s">
        <v>863</v>
      </c>
      <c r="E7" s="107" t="s">
        <v>867</v>
      </c>
      <c r="F7" s="107" t="s">
        <v>864</v>
      </c>
      <c r="G7" s="107" t="s">
        <v>865</v>
      </c>
      <c r="I7" s="176" t="s">
        <v>1054</v>
      </c>
      <c r="J7" s="176" t="s">
        <v>1055</v>
      </c>
      <c r="K7" s="176" t="s">
        <v>1056</v>
      </c>
      <c r="L7" s="176" t="s">
        <v>1057</v>
      </c>
      <c r="M7" s="225"/>
      <c r="O7" s="107" t="s">
        <v>863</v>
      </c>
      <c r="P7" s="107" t="s">
        <v>867</v>
      </c>
      <c r="Q7" s="107" t="s">
        <v>864</v>
      </c>
      <c r="R7" s="107" t="s">
        <v>865</v>
      </c>
    </row>
    <row r="8" spans="1:18" x14ac:dyDescent="0.3">
      <c r="A8" s="221" t="s">
        <v>743</v>
      </c>
      <c r="D8" s="221" t="s">
        <v>751</v>
      </c>
      <c r="E8" s="221" t="s">
        <v>751</v>
      </c>
      <c r="F8" s="221" t="s">
        <v>746</v>
      </c>
      <c r="G8" s="221" t="s">
        <v>746</v>
      </c>
      <c r="I8" s="2" t="str">
        <f>D8</f>
        <v>30 or less (use 10)</v>
      </c>
      <c r="J8" s="2" t="str">
        <f t="shared" ref="J8:L12" si="0">E8</f>
        <v>30 or less (use 10)</v>
      </c>
      <c r="K8" s="2" t="str">
        <f t="shared" si="0"/>
        <v>100+ (use 300)</v>
      </c>
      <c r="L8" s="2" t="str">
        <f t="shared" si="0"/>
        <v>100+ (use 300)</v>
      </c>
      <c r="M8" s="2"/>
      <c r="O8" s="221" t="s">
        <v>751</v>
      </c>
      <c r="P8" s="221" t="s">
        <v>751</v>
      </c>
      <c r="Q8" s="221" t="s">
        <v>746</v>
      </c>
      <c r="R8" s="221" t="s">
        <v>746</v>
      </c>
    </row>
    <row r="9" spans="1:18" x14ac:dyDescent="0.3">
      <c r="A9" s="221" t="s">
        <v>745</v>
      </c>
      <c r="D9" s="221" t="s">
        <v>752</v>
      </c>
      <c r="E9" s="221" t="s">
        <v>752</v>
      </c>
      <c r="F9" s="221" t="s">
        <v>753</v>
      </c>
      <c r="G9" s="221" t="s">
        <v>753</v>
      </c>
      <c r="I9" s="2" t="str">
        <f t="shared" ref="I9:I12" si="1">D9</f>
        <v>32-36' (api 581) or 153-310' CFER</v>
      </c>
      <c r="J9" s="2" t="str">
        <f t="shared" si="0"/>
        <v>32-36' (api 581) or 153-310' CFER</v>
      </c>
      <c r="K9" s="2" t="str">
        <f t="shared" si="0"/>
        <v>153-198' (api 581) or 153-310' CFER</v>
      </c>
      <c r="L9" s="2" t="str">
        <f t="shared" si="0"/>
        <v>153-198' (api 581) or 153-310' CFER</v>
      </c>
      <c r="M9" s="2"/>
      <c r="O9" s="221" t="s">
        <v>752</v>
      </c>
      <c r="P9" s="221" t="s">
        <v>752</v>
      </c>
      <c r="Q9" s="221" t="s">
        <v>753</v>
      </c>
      <c r="R9" s="221" t="s">
        <v>753</v>
      </c>
    </row>
    <row r="10" spans="1:18" x14ac:dyDescent="0.3">
      <c r="A10" s="221" t="s">
        <v>756</v>
      </c>
      <c r="D10" s="221" t="s">
        <v>758</v>
      </c>
      <c r="E10" s="221" t="s">
        <v>758</v>
      </c>
      <c r="F10" s="221" t="s">
        <v>759</v>
      </c>
      <c r="G10" s="221" t="s">
        <v>759</v>
      </c>
      <c r="I10" s="2" t="str">
        <f t="shared" si="1"/>
        <v>2 (2*36 = 72)</v>
      </c>
      <c r="J10" s="2" t="str">
        <f t="shared" si="0"/>
        <v>2 (2*36 = 72)</v>
      </c>
      <c r="K10" s="2" t="str">
        <f t="shared" si="0"/>
        <v>2.5 (2.5*198=485)</v>
      </c>
      <c r="L10" s="2" t="str">
        <f t="shared" si="0"/>
        <v>2.5 (2.5*198=485)</v>
      </c>
      <c r="M10" s="2"/>
      <c r="O10" s="221" t="s">
        <v>758</v>
      </c>
      <c r="P10" s="221" t="s">
        <v>758</v>
      </c>
      <c r="Q10" s="221" t="s">
        <v>759</v>
      </c>
      <c r="R10" s="221" t="s">
        <v>759</v>
      </c>
    </row>
    <row r="11" spans="1:18" x14ac:dyDescent="0.3">
      <c r="A11" s="221" t="s">
        <v>755</v>
      </c>
      <c r="D11" s="221">
        <v>165</v>
      </c>
      <c r="E11" s="221">
        <v>165</v>
      </c>
      <c r="F11" s="221">
        <v>660</v>
      </c>
      <c r="G11" s="221">
        <v>660</v>
      </c>
      <c r="I11" s="221">
        <f t="shared" si="1"/>
        <v>165</v>
      </c>
      <c r="J11" s="221">
        <f t="shared" si="0"/>
        <v>165</v>
      </c>
      <c r="K11" s="221">
        <f t="shared" si="0"/>
        <v>660</v>
      </c>
      <c r="L11" s="221">
        <f t="shared" si="0"/>
        <v>660</v>
      </c>
      <c r="O11" s="221">
        <v>165</v>
      </c>
      <c r="P11" s="221">
        <v>165</v>
      </c>
      <c r="Q11" s="221">
        <v>660</v>
      </c>
      <c r="R11" s="221">
        <v>660</v>
      </c>
    </row>
    <row r="12" spans="1:18" x14ac:dyDescent="0.3">
      <c r="A12" s="221" t="s">
        <v>760</v>
      </c>
      <c r="D12" s="221">
        <v>1100</v>
      </c>
      <c r="E12" s="221">
        <v>99</v>
      </c>
      <c r="F12" s="221">
        <v>9</v>
      </c>
      <c r="G12" s="221">
        <v>1</v>
      </c>
      <c r="I12" s="221">
        <f t="shared" si="1"/>
        <v>1100</v>
      </c>
      <c r="J12" s="221">
        <f t="shared" si="0"/>
        <v>99</v>
      </c>
      <c r="K12" s="221">
        <f t="shared" si="0"/>
        <v>9</v>
      </c>
      <c r="L12" s="221">
        <f t="shared" si="0"/>
        <v>1</v>
      </c>
      <c r="O12" s="221">
        <v>1100</v>
      </c>
      <c r="P12" s="221">
        <v>99</v>
      </c>
      <c r="Q12" s="221">
        <v>9</v>
      </c>
      <c r="R12" s="221">
        <v>1</v>
      </c>
    </row>
    <row r="13" spans="1:18" x14ac:dyDescent="0.3">
      <c r="A13" s="221" t="s">
        <v>761</v>
      </c>
      <c r="D13" s="221">
        <v>3</v>
      </c>
      <c r="E13" s="221">
        <v>1</v>
      </c>
      <c r="F13" s="221">
        <v>1</v>
      </c>
      <c r="G13" s="221">
        <v>2E-3</v>
      </c>
      <c r="I13" s="221">
        <f>5+D13</f>
        <v>8</v>
      </c>
      <c r="J13" s="221">
        <f t="shared" ref="J13:L13" si="2">5+E13</f>
        <v>6</v>
      </c>
      <c r="K13" s="221">
        <f t="shared" si="2"/>
        <v>6</v>
      </c>
      <c r="L13" s="221">
        <f t="shared" si="2"/>
        <v>5.0019999999999998</v>
      </c>
      <c r="N13" s="221" t="s">
        <v>778</v>
      </c>
      <c r="O13" s="221">
        <v>3</v>
      </c>
      <c r="P13" s="221">
        <v>1</v>
      </c>
      <c r="Q13" s="221">
        <v>1</v>
      </c>
      <c r="R13" s="221">
        <v>2E-3</v>
      </c>
    </row>
    <row r="14" spans="1:18" x14ac:dyDescent="0.3">
      <c r="A14" s="206"/>
      <c r="B14" s="204"/>
      <c r="C14" s="204" t="s">
        <v>763</v>
      </c>
      <c r="D14" s="183">
        <v>19395000</v>
      </c>
      <c r="E14" s="183">
        <v>6465000</v>
      </c>
      <c r="F14" s="183">
        <v>6465000</v>
      </c>
      <c r="G14" s="183">
        <v>12930</v>
      </c>
      <c r="H14" s="101"/>
      <c r="I14" s="101">
        <f t="shared" ref="I14:L14" si="3">6.465*I13*1000000</f>
        <v>51720000</v>
      </c>
      <c r="J14" s="101">
        <f t="shared" si="3"/>
        <v>38790000</v>
      </c>
      <c r="K14" s="101">
        <f t="shared" si="3"/>
        <v>38790000</v>
      </c>
      <c r="L14" s="101">
        <f t="shared" si="3"/>
        <v>32337930</v>
      </c>
      <c r="M14" s="101"/>
      <c r="O14" s="101">
        <v>19395000</v>
      </c>
      <c r="P14" s="101">
        <v>6465000</v>
      </c>
      <c r="Q14" s="101">
        <v>6465000</v>
      </c>
      <c r="R14" s="101">
        <v>12930</v>
      </c>
    </row>
    <row r="15" spans="1:18" x14ac:dyDescent="0.3">
      <c r="O15" s="172" t="s">
        <v>780</v>
      </c>
      <c r="P15" s="173"/>
      <c r="Q15" s="173"/>
      <c r="R15" s="173"/>
    </row>
    <row r="16" spans="1:18" x14ac:dyDescent="0.3">
      <c r="A16" s="221" t="s">
        <v>744</v>
      </c>
      <c r="D16" s="221" t="s">
        <v>866</v>
      </c>
      <c r="E16" s="221" t="s">
        <v>866</v>
      </c>
      <c r="F16" s="221" t="s">
        <v>747</v>
      </c>
      <c r="G16" s="221" t="s">
        <v>747</v>
      </c>
      <c r="I16" s="2" t="s">
        <v>812</v>
      </c>
      <c r="J16" s="2" t="s">
        <v>811</v>
      </c>
      <c r="K16" s="2" t="s">
        <v>811</v>
      </c>
      <c r="L16" s="2" t="s">
        <v>811</v>
      </c>
      <c r="M16" s="2"/>
      <c r="O16" s="221" t="s">
        <v>747</v>
      </c>
      <c r="P16" s="221" t="s">
        <v>749</v>
      </c>
      <c r="Q16" s="221" t="s">
        <v>748</v>
      </c>
      <c r="R16" s="221">
        <v>9</v>
      </c>
    </row>
    <row r="17" spans="1:18" x14ac:dyDescent="0.3">
      <c r="A17" s="221" t="s">
        <v>82</v>
      </c>
      <c r="D17" s="221">
        <v>4</v>
      </c>
      <c r="E17" s="221">
        <v>4</v>
      </c>
      <c r="F17" s="221">
        <v>5</v>
      </c>
      <c r="G17" s="221">
        <v>5</v>
      </c>
      <c r="I17" s="2" t="s">
        <v>811</v>
      </c>
      <c r="J17" s="2" t="s">
        <v>811</v>
      </c>
      <c r="K17" s="2" t="s">
        <v>811</v>
      </c>
      <c r="L17" s="2" t="s">
        <v>811</v>
      </c>
      <c r="M17" s="2"/>
      <c r="O17" s="221">
        <v>5</v>
      </c>
      <c r="P17" s="221">
        <v>4</v>
      </c>
      <c r="Q17" s="221">
        <v>3</v>
      </c>
      <c r="R17" s="221">
        <v>2</v>
      </c>
    </row>
    <row r="18" spans="1:18" x14ac:dyDescent="0.3">
      <c r="A18" s="221" t="s">
        <v>742</v>
      </c>
      <c r="D18" s="221">
        <v>1100</v>
      </c>
      <c r="E18" s="221">
        <v>99</v>
      </c>
      <c r="F18" s="221">
        <v>9</v>
      </c>
      <c r="G18" s="221">
        <v>0.9</v>
      </c>
      <c r="I18" s="2" t="s">
        <v>811</v>
      </c>
      <c r="J18" s="2" t="s">
        <v>811</v>
      </c>
      <c r="K18" s="2" t="s">
        <v>811</v>
      </c>
      <c r="L18" s="2" t="s">
        <v>811</v>
      </c>
      <c r="M18" s="2"/>
      <c r="O18" s="221">
        <v>1100</v>
      </c>
      <c r="P18" s="221">
        <v>99</v>
      </c>
      <c r="Q18" s="221">
        <v>9</v>
      </c>
      <c r="R18" s="221">
        <v>0.9</v>
      </c>
    </row>
    <row r="19" spans="1:18" x14ac:dyDescent="0.3">
      <c r="A19" s="221" t="s">
        <v>92</v>
      </c>
      <c r="D19" s="221">
        <v>5449</v>
      </c>
      <c r="E19" s="221">
        <v>54.5</v>
      </c>
      <c r="F19" s="221">
        <v>5.4</v>
      </c>
      <c r="G19" s="221">
        <v>0.5</v>
      </c>
      <c r="I19" s="2" t="s">
        <v>811</v>
      </c>
      <c r="J19" s="2" t="s">
        <v>811</v>
      </c>
      <c r="K19" s="2" t="s">
        <v>811</v>
      </c>
      <c r="L19" s="2" t="s">
        <v>811</v>
      </c>
      <c r="M19" s="2"/>
      <c r="O19" s="221">
        <v>5449</v>
      </c>
      <c r="P19" s="221">
        <v>54.5</v>
      </c>
      <c r="Q19" s="221">
        <v>5.4</v>
      </c>
      <c r="R19" s="221">
        <v>0.5</v>
      </c>
    </row>
    <row r="20" spans="1:18" x14ac:dyDescent="0.3">
      <c r="A20" s="206" t="s">
        <v>907</v>
      </c>
      <c r="B20" s="204"/>
      <c r="C20" s="204" t="s">
        <v>764</v>
      </c>
      <c r="D20" s="183">
        <v>990144018.42496002</v>
      </c>
      <c r="E20" s="183">
        <v>9903257.2956800014</v>
      </c>
      <c r="F20" s="183">
        <v>1226550.2155200001</v>
      </c>
      <c r="G20" s="183">
        <v>113569.46440000001</v>
      </c>
      <c r="I20" s="2" t="s">
        <v>811</v>
      </c>
      <c r="J20" s="2" t="s">
        <v>811</v>
      </c>
      <c r="K20" s="2" t="s">
        <v>811</v>
      </c>
      <c r="L20" s="2" t="s">
        <v>811</v>
      </c>
      <c r="M20" s="2"/>
      <c r="O20" s="101">
        <f>D20</f>
        <v>990144018.42496002</v>
      </c>
      <c r="P20" s="101">
        <f>E20</f>
        <v>9903257.2956800014</v>
      </c>
      <c r="Q20" s="101">
        <f>F20</f>
        <v>1226550.2155200001</v>
      </c>
      <c r="R20" s="101">
        <f>G20</f>
        <v>113569.46440000001</v>
      </c>
    </row>
    <row r="21" spans="1:18" x14ac:dyDescent="0.3">
      <c r="I21" s="221" t="s">
        <v>813</v>
      </c>
      <c r="O21" s="172" t="s">
        <v>780</v>
      </c>
      <c r="P21" s="173"/>
      <c r="Q21" s="173"/>
      <c r="R21" s="173"/>
    </row>
    <row r="22" spans="1:18" x14ac:dyDescent="0.3">
      <c r="A22" s="221" t="s">
        <v>500</v>
      </c>
    </row>
    <row r="23" spans="1:18" x14ac:dyDescent="0.3">
      <c r="A23" s="221" t="s">
        <v>546</v>
      </c>
      <c r="D23" s="101">
        <v>200000</v>
      </c>
      <c r="E23" s="101">
        <v>5000</v>
      </c>
      <c r="F23" s="101">
        <v>5000000</v>
      </c>
      <c r="G23" s="101">
        <v>200000</v>
      </c>
      <c r="I23" s="101">
        <f>0.13*D23</f>
        <v>26000</v>
      </c>
      <c r="J23" s="101">
        <f t="shared" ref="J23:L27" si="4">0.13*E23</f>
        <v>650</v>
      </c>
      <c r="K23" s="101">
        <f t="shared" si="4"/>
        <v>650000</v>
      </c>
      <c r="L23" s="101">
        <f t="shared" si="4"/>
        <v>26000</v>
      </c>
      <c r="M23" s="101"/>
      <c r="O23" s="101">
        <f>D23</f>
        <v>200000</v>
      </c>
      <c r="P23" s="101">
        <f>E23</f>
        <v>5000</v>
      </c>
      <c r="Q23" s="101">
        <f>F23</f>
        <v>5000000</v>
      </c>
      <c r="R23" s="101">
        <f>G23</f>
        <v>200000</v>
      </c>
    </row>
    <row r="24" spans="1:18" x14ac:dyDescent="0.3">
      <c r="A24" s="221" t="s">
        <v>555</v>
      </c>
      <c r="D24" s="101">
        <v>100000</v>
      </c>
      <c r="E24" s="101">
        <v>2000</v>
      </c>
      <c r="F24" s="101">
        <v>2000000</v>
      </c>
      <c r="G24" s="101">
        <v>200000</v>
      </c>
      <c r="I24" s="101">
        <f t="shared" ref="I24:I27" si="5">0.13*D24</f>
        <v>13000</v>
      </c>
      <c r="J24" s="101">
        <f t="shared" si="4"/>
        <v>260</v>
      </c>
      <c r="K24" s="101">
        <f t="shared" si="4"/>
        <v>260000</v>
      </c>
      <c r="L24" s="101">
        <f t="shared" si="4"/>
        <v>26000</v>
      </c>
      <c r="M24" s="101"/>
      <c r="O24" s="101">
        <f t="shared" ref="O24:R27" si="6">D24</f>
        <v>100000</v>
      </c>
      <c r="P24" s="101">
        <f t="shared" si="6"/>
        <v>2000</v>
      </c>
      <c r="Q24" s="101">
        <f t="shared" si="6"/>
        <v>2000000</v>
      </c>
      <c r="R24" s="101">
        <f t="shared" si="6"/>
        <v>200000</v>
      </c>
    </row>
    <row r="25" spans="1:18" x14ac:dyDescent="0.3">
      <c r="A25" s="221" t="s">
        <v>547</v>
      </c>
      <c r="D25" s="101">
        <v>20000000</v>
      </c>
      <c r="E25" s="101">
        <v>1000000</v>
      </c>
      <c r="F25" s="101">
        <v>2000000</v>
      </c>
      <c r="G25" s="101">
        <v>200000</v>
      </c>
      <c r="I25" s="101">
        <f t="shared" si="5"/>
        <v>2600000</v>
      </c>
      <c r="J25" s="101">
        <f t="shared" si="4"/>
        <v>130000</v>
      </c>
      <c r="K25" s="101">
        <f t="shared" si="4"/>
        <v>260000</v>
      </c>
      <c r="L25" s="101">
        <f t="shared" si="4"/>
        <v>26000</v>
      </c>
      <c r="M25" s="101"/>
      <c r="O25" s="101">
        <f t="shared" si="6"/>
        <v>20000000</v>
      </c>
      <c r="P25" s="101">
        <f t="shared" si="6"/>
        <v>1000000</v>
      </c>
      <c r="Q25" s="101">
        <f t="shared" si="6"/>
        <v>2000000</v>
      </c>
      <c r="R25" s="101">
        <f t="shared" si="6"/>
        <v>200000</v>
      </c>
    </row>
    <row r="26" spans="1:18" x14ac:dyDescent="0.3">
      <c r="A26" s="204" t="s">
        <v>548</v>
      </c>
      <c r="B26" s="206" t="s">
        <v>900</v>
      </c>
      <c r="C26" s="205"/>
      <c r="D26" s="183">
        <v>272130</v>
      </c>
      <c r="E26" s="183">
        <v>272130</v>
      </c>
      <c r="F26" s="183">
        <v>2721300</v>
      </c>
      <c r="G26" s="183">
        <v>2721300</v>
      </c>
      <c r="I26" s="101">
        <f>0.13*D26</f>
        <v>35376.9</v>
      </c>
      <c r="J26" s="101">
        <f t="shared" si="4"/>
        <v>35376.9</v>
      </c>
      <c r="K26" s="101">
        <f t="shared" si="4"/>
        <v>353769</v>
      </c>
      <c r="L26" s="101">
        <f t="shared" si="4"/>
        <v>353769</v>
      </c>
      <c r="M26" s="101"/>
      <c r="O26" s="101">
        <f t="shared" si="6"/>
        <v>272130</v>
      </c>
      <c r="P26" s="101">
        <f t="shared" si="6"/>
        <v>272130</v>
      </c>
      <c r="Q26" s="101">
        <f t="shared" si="6"/>
        <v>2721300</v>
      </c>
      <c r="R26" s="101">
        <f t="shared" si="6"/>
        <v>2721300</v>
      </c>
    </row>
    <row r="27" spans="1:18" x14ac:dyDescent="0.3">
      <c r="A27" s="221" t="s">
        <v>550</v>
      </c>
      <c r="D27" s="101">
        <v>1000000</v>
      </c>
      <c r="E27" s="101">
        <v>100000</v>
      </c>
      <c r="F27" s="101">
        <v>10000000</v>
      </c>
      <c r="G27" s="101">
        <v>1000000</v>
      </c>
      <c r="I27" s="101">
        <f t="shared" si="5"/>
        <v>130000</v>
      </c>
      <c r="J27" s="101">
        <f t="shared" si="4"/>
        <v>13000</v>
      </c>
      <c r="K27" s="101">
        <f t="shared" si="4"/>
        <v>1300000</v>
      </c>
      <c r="L27" s="101">
        <f t="shared" si="4"/>
        <v>130000</v>
      </c>
      <c r="M27" s="101"/>
      <c r="O27" s="101">
        <f t="shared" si="6"/>
        <v>1000000</v>
      </c>
      <c r="P27" s="101">
        <f t="shared" si="6"/>
        <v>100000</v>
      </c>
      <c r="Q27" s="101">
        <f t="shared" si="6"/>
        <v>10000000</v>
      </c>
      <c r="R27" s="101">
        <f t="shared" si="6"/>
        <v>1000000</v>
      </c>
    </row>
    <row r="28" spans="1:18" x14ac:dyDescent="0.3">
      <c r="G28" s="101"/>
      <c r="O28" s="172" t="s">
        <v>780</v>
      </c>
      <c r="P28" s="173"/>
      <c r="Q28" s="173"/>
      <c r="R28" s="173"/>
    </row>
    <row r="29" spans="1:18" x14ac:dyDescent="0.3">
      <c r="A29" s="221" t="s">
        <v>762</v>
      </c>
      <c r="G29" s="101"/>
      <c r="R29" s="101"/>
    </row>
    <row r="30" spans="1:18" x14ac:dyDescent="0.3">
      <c r="A30" s="221" t="str">
        <f>'Svc-Reliability-Finan COFcalc'!A7</f>
        <v>emergency response and incident management cost</v>
      </c>
      <c r="D30" s="101">
        <v>1000000</v>
      </c>
      <c r="E30" s="101">
        <v>500000</v>
      </c>
      <c r="F30" s="101">
        <v>5000000</v>
      </c>
      <c r="G30" s="101">
        <v>2000000</v>
      </c>
      <c r="I30" s="101">
        <f>0.13*D30</f>
        <v>130000</v>
      </c>
      <c r="J30" s="101">
        <f t="shared" ref="J30:L45" si="7">0.13*E30</f>
        <v>65000</v>
      </c>
      <c r="K30" s="101">
        <f t="shared" si="7"/>
        <v>650000</v>
      </c>
      <c r="L30" s="101">
        <f t="shared" si="7"/>
        <v>260000</v>
      </c>
      <c r="M30" s="101"/>
      <c r="O30" s="101">
        <f>D30</f>
        <v>1000000</v>
      </c>
      <c r="P30" s="101">
        <f>E30</f>
        <v>500000</v>
      </c>
      <c r="Q30" s="101">
        <f>F30</f>
        <v>5000000</v>
      </c>
      <c r="R30" s="101">
        <f>G30</f>
        <v>2000000</v>
      </c>
    </row>
    <row r="31" spans="1:18" x14ac:dyDescent="0.3">
      <c r="A31" s="221" t="str">
        <f>'Svc-Reliability-Finan COFcalc'!A8</f>
        <v>product lost during leak</v>
      </c>
      <c r="D31" s="101">
        <v>720000</v>
      </c>
      <c r="E31" s="101">
        <v>720000</v>
      </c>
      <c r="F31" s="101">
        <v>7200000</v>
      </c>
      <c r="G31" s="101">
        <v>7200000</v>
      </c>
      <c r="I31" s="101">
        <f t="shared" ref="I31:I45" si="8">0.13*D31</f>
        <v>93600</v>
      </c>
      <c r="J31" s="101">
        <f t="shared" si="7"/>
        <v>93600</v>
      </c>
      <c r="K31" s="101">
        <f t="shared" si="7"/>
        <v>936000</v>
      </c>
      <c r="L31" s="101">
        <f t="shared" si="7"/>
        <v>936000</v>
      </c>
      <c r="M31" s="101"/>
      <c r="O31" s="101">
        <f t="shared" ref="O31:R45" si="9">D31</f>
        <v>720000</v>
      </c>
      <c r="P31" s="101">
        <f t="shared" si="9"/>
        <v>720000</v>
      </c>
      <c r="Q31" s="101">
        <f t="shared" si="9"/>
        <v>7200000</v>
      </c>
      <c r="R31" s="101">
        <f t="shared" si="9"/>
        <v>7200000</v>
      </c>
    </row>
    <row r="32" spans="1:18" x14ac:dyDescent="0.3">
      <c r="A32" s="221" t="str">
        <f>'Svc-Reliability-Finan COFcalc'!A9</f>
        <v>degradation of product/service quality</v>
      </c>
      <c r="D32" s="101">
        <v>1000000</v>
      </c>
      <c r="E32" s="101">
        <v>500000</v>
      </c>
      <c r="F32" s="101">
        <v>10000000</v>
      </c>
      <c r="G32" s="101">
        <v>5000000</v>
      </c>
      <c r="I32" s="101">
        <f t="shared" si="8"/>
        <v>130000</v>
      </c>
      <c r="J32" s="101">
        <f t="shared" si="7"/>
        <v>65000</v>
      </c>
      <c r="K32" s="101">
        <f t="shared" si="7"/>
        <v>1300000</v>
      </c>
      <c r="L32" s="101">
        <f t="shared" si="7"/>
        <v>650000</v>
      </c>
      <c r="M32" s="101"/>
      <c r="O32" s="101">
        <f t="shared" si="9"/>
        <v>1000000</v>
      </c>
      <c r="P32" s="101">
        <f t="shared" si="9"/>
        <v>500000</v>
      </c>
      <c r="Q32" s="101">
        <f t="shared" si="9"/>
        <v>10000000</v>
      </c>
      <c r="R32" s="101">
        <f t="shared" si="9"/>
        <v>5000000</v>
      </c>
    </row>
    <row r="33" spans="1:52" x14ac:dyDescent="0.3">
      <c r="A33" s="221" t="str">
        <f>'Svc-Reliability-Finan COFcalc'!A10</f>
        <v>business interruption/service interruption cost, loss of market share/loss of customers</v>
      </c>
      <c r="D33" s="101">
        <v>1000000</v>
      </c>
      <c r="E33" s="101">
        <v>500000</v>
      </c>
      <c r="F33" s="101">
        <v>10000000</v>
      </c>
      <c r="G33" s="101">
        <v>5000000</v>
      </c>
      <c r="I33" s="101">
        <f t="shared" si="8"/>
        <v>130000</v>
      </c>
      <c r="J33" s="101">
        <f t="shared" si="7"/>
        <v>65000</v>
      </c>
      <c r="K33" s="101">
        <f t="shared" si="7"/>
        <v>1300000</v>
      </c>
      <c r="L33" s="101">
        <f t="shared" si="7"/>
        <v>650000</v>
      </c>
      <c r="M33" s="101"/>
      <c r="O33" s="101">
        <f t="shared" si="9"/>
        <v>1000000</v>
      </c>
      <c r="P33" s="101">
        <f t="shared" si="9"/>
        <v>500000</v>
      </c>
      <c r="Q33" s="101">
        <f t="shared" si="9"/>
        <v>10000000</v>
      </c>
      <c r="R33" s="101">
        <f t="shared" si="9"/>
        <v>5000000</v>
      </c>
    </row>
    <row r="34" spans="1:52" x14ac:dyDescent="0.3">
      <c r="A34" s="221" t="str">
        <f>'Svc-Reliability-Finan COFcalc'!A11</f>
        <v>ability to compensate for flow/service loss</v>
      </c>
      <c r="D34" s="101">
        <v>500000</v>
      </c>
      <c r="E34" s="101">
        <v>100000</v>
      </c>
      <c r="F34" s="101">
        <v>10000000</v>
      </c>
      <c r="G34" s="101">
        <v>5000000</v>
      </c>
      <c r="I34" s="101">
        <f t="shared" si="8"/>
        <v>65000</v>
      </c>
      <c r="J34" s="101">
        <f t="shared" si="7"/>
        <v>13000</v>
      </c>
      <c r="K34" s="101">
        <f t="shared" si="7"/>
        <v>1300000</v>
      </c>
      <c r="L34" s="101">
        <f t="shared" si="7"/>
        <v>650000</v>
      </c>
      <c r="M34" s="101"/>
      <c r="O34" s="101">
        <f t="shared" si="9"/>
        <v>500000</v>
      </c>
      <c r="P34" s="101">
        <f t="shared" si="9"/>
        <v>100000</v>
      </c>
      <c r="Q34" s="101">
        <f t="shared" si="9"/>
        <v>10000000</v>
      </c>
      <c r="R34" s="101">
        <f t="shared" si="9"/>
        <v>5000000</v>
      </c>
    </row>
    <row r="35" spans="1:52" x14ac:dyDescent="0.3">
      <c r="A35" s="221" t="str">
        <f>'Svc-Reliability-Finan COFcalc'!A12</f>
        <v>deployment costs for emergency response personnel</v>
      </c>
      <c r="D35" s="101">
        <v>1000000</v>
      </c>
      <c r="E35" s="101">
        <v>100000</v>
      </c>
      <c r="F35" s="101">
        <v>5000000</v>
      </c>
      <c r="G35" s="101">
        <v>2000000</v>
      </c>
      <c r="I35" s="101">
        <f t="shared" si="8"/>
        <v>130000</v>
      </c>
      <c r="J35" s="101">
        <f t="shared" si="7"/>
        <v>13000</v>
      </c>
      <c r="K35" s="101">
        <f t="shared" si="7"/>
        <v>650000</v>
      </c>
      <c r="L35" s="101">
        <f t="shared" si="7"/>
        <v>260000</v>
      </c>
      <c r="M35" s="101"/>
      <c r="O35" s="101">
        <f t="shared" si="9"/>
        <v>1000000</v>
      </c>
      <c r="P35" s="101">
        <f t="shared" si="9"/>
        <v>100000</v>
      </c>
      <c r="Q35" s="101">
        <f t="shared" si="9"/>
        <v>5000000</v>
      </c>
      <c r="R35" s="101">
        <f t="shared" si="9"/>
        <v>2000000</v>
      </c>
    </row>
    <row r="36" spans="1:52" x14ac:dyDescent="0.3">
      <c r="A36" s="221" t="str">
        <f>'Svc-Reliability-Finan COFcalc'!A13</f>
        <v xml:space="preserve">equipment repair and restoration </v>
      </c>
      <c r="D36" s="101">
        <v>5000000</v>
      </c>
      <c r="E36" s="101">
        <v>1000000</v>
      </c>
      <c r="F36" s="101">
        <v>20000000</v>
      </c>
      <c r="G36" s="101">
        <v>5000000</v>
      </c>
      <c r="I36" s="101">
        <f t="shared" si="8"/>
        <v>650000</v>
      </c>
      <c r="J36" s="101">
        <f t="shared" si="7"/>
        <v>130000</v>
      </c>
      <c r="K36" s="101">
        <f t="shared" si="7"/>
        <v>2600000</v>
      </c>
      <c r="L36" s="101">
        <f t="shared" si="7"/>
        <v>650000</v>
      </c>
      <c r="M36" s="101"/>
      <c r="O36" s="101">
        <f t="shared" si="9"/>
        <v>5000000</v>
      </c>
      <c r="P36" s="101">
        <f t="shared" si="9"/>
        <v>1000000</v>
      </c>
      <c r="Q36" s="101">
        <f t="shared" si="9"/>
        <v>20000000</v>
      </c>
      <c r="R36" s="101">
        <f t="shared" si="9"/>
        <v>5000000</v>
      </c>
    </row>
    <row r="37" spans="1:52" x14ac:dyDescent="0.3">
      <c r="A37" s="221" t="str">
        <f>'Svc-Reliability-Finan COFcalc'!A14</f>
        <v xml:space="preserve"> on-site and off-site property damage [incl. damage to adjacent eqpt and further business/service impacts] </v>
      </c>
      <c r="D37" s="101">
        <v>10000000</v>
      </c>
      <c r="E37" s="101">
        <v>1000000</v>
      </c>
      <c r="F37" s="101">
        <v>5000000</v>
      </c>
      <c r="G37" s="101">
        <v>1000000</v>
      </c>
      <c r="I37" s="101">
        <f t="shared" si="8"/>
        <v>1300000</v>
      </c>
      <c r="J37" s="101">
        <f t="shared" si="7"/>
        <v>130000</v>
      </c>
      <c r="K37" s="101">
        <f t="shared" si="7"/>
        <v>650000</v>
      </c>
      <c r="L37" s="101">
        <f t="shared" si="7"/>
        <v>130000</v>
      </c>
      <c r="M37" s="101"/>
      <c r="O37" s="101">
        <f t="shared" si="9"/>
        <v>10000000</v>
      </c>
      <c r="P37" s="101">
        <f t="shared" si="9"/>
        <v>1000000</v>
      </c>
      <c r="Q37" s="101">
        <f t="shared" si="9"/>
        <v>5000000</v>
      </c>
      <c r="R37" s="101">
        <f t="shared" si="9"/>
        <v>1000000</v>
      </c>
    </row>
    <row r="38" spans="1:52" x14ac:dyDescent="0.3">
      <c r="A38" s="221" t="str">
        <f>'Svc-Reliability-Finan COFcalc'!A15</f>
        <v>relocation/reimbursement</v>
      </c>
      <c r="D38" s="101">
        <v>10000000</v>
      </c>
      <c r="E38" s="101">
        <v>1000000</v>
      </c>
      <c r="F38" s="101">
        <v>10000</v>
      </c>
      <c r="G38" s="101">
        <v>5000</v>
      </c>
      <c r="I38" s="101">
        <f t="shared" si="8"/>
        <v>1300000</v>
      </c>
      <c r="J38" s="101">
        <f t="shared" si="7"/>
        <v>130000</v>
      </c>
      <c r="K38" s="101">
        <f t="shared" si="7"/>
        <v>1300</v>
      </c>
      <c r="L38" s="101">
        <f t="shared" si="7"/>
        <v>650</v>
      </c>
      <c r="M38" s="101"/>
      <c r="O38" s="101">
        <f t="shared" si="9"/>
        <v>10000000</v>
      </c>
      <c r="P38" s="101">
        <f t="shared" si="9"/>
        <v>1000000</v>
      </c>
      <c r="Q38" s="101">
        <f t="shared" si="9"/>
        <v>10000</v>
      </c>
      <c r="R38" s="101">
        <f t="shared" si="9"/>
        <v>5000</v>
      </c>
    </row>
    <row r="39" spans="1:52" x14ac:dyDescent="0.3">
      <c r="A39" s="221" t="str">
        <f>'Svc-Reliability-Finan COFcalc'!A16</f>
        <v>cost of cascading business risk [interruption of flow/feed to the next point curtails that activity as well]</v>
      </c>
      <c r="D39" s="101">
        <v>1000000</v>
      </c>
      <c r="E39" s="101">
        <v>500000</v>
      </c>
      <c r="F39" s="101">
        <v>10000000</v>
      </c>
      <c r="G39" s="101">
        <v>2000000</v>
      </c>
      <c r="I39" s="101">
        <f t="shared" si="8"/>
        <v>130000</v>
      </c>
      <c r="J39" s="101">
        <f t="shared" si="7"/>
        <v>65000</v>
      </c>
      <c r="K39" s="101">
        <f t="shared" si="7"/>
        <v>1300000</v>
      </c>
      <c r="L39" s="101">
        <f t="shared" si="7"/>
        <v>260000</v>
      </c>
      <c r="M39" s="101"/>
      <c r="O39" s="101">
        <f t="shared" si="9"/>
        <v>1000000</v>
      </c>
      <c r="P39" s="101">
        <f t="shared" si="9"/>
        <v>500000</v>
      </c>
      <c r="Q39" s="101">
        <f t="shared" si="9"/>
        <v>10000000</v>
      </c>
      <c r="R39" s="101">
        <f t="shared" si="9"/>
        <v>2000000</v>
      </c>
    </row>
    <row r="40" spans="1:52" x14ac:dyDescent="0.3">
      <c r="A40" s="221" t="str">
        <f>'Svc-Reliability-Finan COFcalc'!A17</f>
        <v xml:space="preserve">loss of goodwill/public reputation </v>
      </c>
      <c r="D40" s="101">
        <v>10000000</v>
      </c>
      <c r="E40" s="101">
        <v>1000000</v>
      </c>
      <c r="F40" s="101">
        <v>1000000</v>
      </c>
      <c r="G40" s="101">
        <v>500000</v>
      </c>
      <c r="I40" s="101">
        <f t="shared" si="8"/>
        <v>1300000</v>
      </c>
      <c r="J40" s="101">
        <f t="shared" si="7"/>
        <v>130000</v>
      </c>
      <c r="K40" s="101">
        <f t="shared" si="7"/>
        <v>130000</v>
      </c>
      <c r="L40" s="101">
        <f t="shared" si="7"/>
        <v>65000</v>
      </c>
      <c r="M40" s="101"/>
      <c r="O40" s="101">
        <f t="shared" si="9"/>
        <v>10000000</v>
      </c>
      <c r="P40" s="101">
        <f t="shared" si="9"/>
        <v>1000000</v>
      </c>
      <c r="Q40" s="101">
        <f t="shared" si="9"/>
        <v>1000000</v>
      </c>
      <c r="R40" s="101">
        <f t="shared" si="9"/>
        <v>500000</v>
      </c>
    </row>
    <row r="41" spans="1:52" x14ac:dyDescent="0.3">
      <c r="A41" s="221" t="str">
        <f>'Svc-Reliability-Finan COFcalc'!A18</f>
        <v>increased cost of insurance</v>
      </c>
      <c r="D41" s="101">
        <v>5000000</v>
      </c>
      <c r="E41" s="101">
        <v>2000000</v>
      </c>
      <c r="F41" s="101">
        <v>10000000</v>
      </c>
      <c r="G41" s="101">
        <v>5000000</v>
      </c>
      <c r="I41" s="101">
        <f t="shared" si="8"/>
        <v>650000</v>
      </c>
      <c r="J41" s="101">
        <f t="shared" si="7"/>
        <v>260000</v>
      </c>
      <c r="K41" s="101">
        <f t="shared" si="7"/>
        <v>1300000</v>
      </c>
      <c r="L41" s="101">
        <f t="shared" si="7"/>
        <v>650000</v>
      </c>
      <c r="M41" s="101"/>
      <c r="O41" s="101">
        <f t="shared" si="9"/>
        <v>5000000</v>
      </c>
      <c r="P41" s="101">
        <f t="shared" si="9"/>
        <v>2000000</v>
      </c>
      <c r="Q41" s="101">
        <f t="shared" si="9"/>
        <v>10000000</v>
      </c>
      <c r="R41" s="101">
        <f t="shared" si="9"/>
        <v>5000000</v>
      </c>
    </row>
    <row r="42" spans="1:52" x14ac:dyDescent="0.3">
      <c r="A42" s="221" t="str">
        <f>'Svc-Reliability-Finan COFcalc'!A19</f>
        <v xml:space="preserve"> litigation costs</v>
      </c>
      <c r="D42" s="101">
        <v>50000000</v>
      </c>
      <c r="E42" s="101">
        <v>10000000</v>
      </c>
      <c r="F42" s="101">
        <v>10000000</v>
      </c>
      <c r="G42" s="101">
        <v>5000000</v>
      </c>
      <c r="I42" s="101">
        <f t="shared" si="8"/>
        <v>6500000</v>
      </c>
      <c r="J42" s="101">
        <f t="shared" si="7"/>
        <v>1300000</v>
      </c>
      <c r="K42" s="101">
        <f t="shared" si="7"/>
        <v>1300000</v>
      </c>
      <c r="L42" s="101">
        <f t="shared" si="7"/>
        <v>650000</v>
      </c>
      <c r="M42" s="101"/>
      <c r="O42" s="101">
        <f t="shared" si="9"/>
        <v>50000000</v>
      </c>
      <c r="P42" s="101">
        <f t="shared" si="9"/>
        <v>10000000</v>
      </c>
      <c r="Q42" s="101">
        <f t="shared" si="9"/>
        <v>10000000</v>
      </c>
      <c r="R42" s="101">
        <f t="shared" si="9"/>
        <v>5000000</v>
      </c>
    </row>
    <row r="43" spans="1:52" x14ac:dyDescent="0.3">
      <c r="A43" s="221" t="str">
        <f>'Svc-Reliability-Finan COFcalc'!A20</f>
        <v xml:space="preserve">regulatory actions/fines/cost of new regs </v>
      </c>
      <c r="D43" s="101">
        <v>50000000</v>
      </c>
      <c r="E43" s="101">
        <v>10000000</v>
      </c>
      <c r="F43" s="101">
        <v>10000000</v>
      </c>
      <c r="G43" s="101">
        <v>5000000</v>
      </c>
      <c r="I43" s="101">
        <f t="shared" si="8"/>
        <v>6500000</v>
      </c>
      <c r="J43" s="101">
        <f t="shared" si="7"/>
        <v>1300000</v>
      </c>
      <c r="K43" s="101">
        <f t="shared" si="7"/>
        <v>1300000</v>
      </c>
      <c r="L43" s="101">
        <f t="shared" si="7"/>
        <v>650000</v>
      </c>
      <c r="M43" s="101"/>
      <c r="O43" s="101">
        <f t="shared" si="9"/>
        <v>50000000</v>
      </c>
      <c r="P43" s="101">
        <f t="shared" si="9"/>
        <v>10000000</v>
      </c>
      <c r="Q43" s="101">
        <f t="shared" si="9"/>
        <v>10000000</v>
      </c>
      <c r="R43" s="101">
        <f t="shared" si="9"/>
        <v>5000000</v>
      </c>
    </row>
    <row r="44" spans="1:52" x14ac:dyDescent="0.3">
      <c r="A44" s="221" t="str">
        <f>'Svc-Reliability-Finan COFcalc'!A23</f>
        <v>Home air/local water source monitoring</v>
      </c>
      <c r="D44" s="101">
        <v>10000000</v>
      </c>
      <c r="E44" s="101">
        <v>500000</v>
      </c>
      <c r="F44" s="101">
        <v>20000</v>
      </c>
      <c r="G44" s="101">
        <v>5000</v>
      </c>
      <c r="I44" s="101">
        <f t="shared" si="8"/>
        <v>1300000</v>
      </c>
      <c r="J44" s="101">
        <f t="shared" si="7"/>
        <v>65000</v>
      </c>
      <c r="K44" s="101">
        <f t="shared" si="7"/>
        <v>2600</v>
      </c>
      <c r="L44" s="101">
        <f t="shared" si="7"/>
        <v>650</v>
      </c>
      <c r="M44" s="101"/>
      <c r="O44" s="101">
        <f t="shared" si="9"/>
        <v>10000000</v>
      </c>
      <c r="P44" s="101">
        <f t="shared" si="9"/>
        <v>500000</v>
      </c>
      <c r="Q44" s="101">
        <f t="shared" si="9"/>
        <v>20000</v>
      </c>
      <c r="R44" s="101">
        <f t="shared" si="9"/>
        <v>5000</v>
      </c>
    </row>
    <row r="45" spans="1:52" x14ac:dyDescent="0.3">
      <c r="A45" s="221" t="str">
        <f>'Svc-Reliability-Finan COFcalc'!A28</f>
        <v>Wildlife/endangered species impact</v>
      </c>
      <c r="D45" s="101">
        <v>1000000</v>
      </c>
      <c r="E45" s="101">
        <v>100000</v>
      </c>
      <c r="F45" s="101">
        <v>1000000</v>
      </c>
      <c r="G45" s="101">
        <v>500000</v>
      </c>
      <c r="I45" s="101">
        <f t="shared" si="8"/>
        <v>130000</v>
      </c>
      <c r="J45" s="101">
        <f t="shared" si="7"/>
        <v>13000</v>
      </c>
      <c r="K45" s="101">
        <f t="shared" si="7"/>
        <v>130000</v>
      </c>
      <c r="L45" s="101">
        <f t="shared" si="7"/>
        <v>65000</v>
      </c>
      <c r="M45" s="101"/>
      <c r="O45" s="101">
        <f t="shared" si="9"/>
        <v>1000000</v>
      </c>
      <c r="P45" s="101">
        <f t="shared" si="9"/>
        <v>100000</v>
      </c>
      <c r="Q45" s="101">
        <f t="shared" si="9"/>
        <v>1000000</v>
      </c>
      <c r="R45" s="101">
        <f t="shared" si="9"/>
        <v>500000</v>
      </c>
      <c r="AV45" s="241" t="s">
        <v>1043</v>
      </c>
      <c r="AW45" s="241"/>
      <c r="AX45" s="241"/>
      <c r="AY45" s="241" t="s">
        <v>1044</v>
      </c>
    </row>
    <row r="46" spans="1:52" x14ac:dyDescent="0.3">
      <c r="G46" s="101"/>
      <c r="O46" s="172" t="s">
        <v>780</v>
      </c>
      <c r="P46" s="173"/>
      <c r="Q46" s="173"/>
      <c r="R46" s="173"/>
      <c r="AV46" s="221" t="s">
        <v>943</v>
      </c>
      <c r="AY46" s="221" t="s">
        <v>946</v>
      </c>
    </row>
    <row r="47" spans="1:52" x14ac:dyDescent="0.3">
      <c r="G47" s="101"/>
      <c r="R47" s="101"/>
      <c r="AV47" s="221">
        <f>24*365</f>
        <v>8760</v>
      </c>
      <c r="AW47" s="221" t="s">
        <v>944</v>
      </c>
      <c r="AY47" s="221">
        <v>8760</v>
      </c>
      <c r="AZ47" s="221" t="s">
        <v>944</v>
      </c>
    </row>
    <row r="48" spans="1:52" x14ac:dyDescent="0.3">
      <c r="C48" s="174" t="s">
        <v>800</v>
      </c>
      <c r="D48" s="175">
        <v>1188331148.4249601</v>
      </c>
      <c r="E48" s="175">
        <v>47267387.295680001</v>
      </c>
      <c r="F48" s="175">
        <v>143642850.21551999</v>
      </c>
      <c r="G48" s="175">
        <v>54657799.464400001</v>
      </c>
      <c r="I48" s="175">
        <f>SUM(I14, I23:I27, I30:I45)</f>
        <v>74962976.900000006</v>
      </c>
      <c r="J48" s="175">
        <f t="shared" ref="J48:L48" si="10">SUM(J14, J23:J27, J30:J45)</f>
        <v>42806886.899999999</v>
      </c>
      <c r="K48" s="175">
        <f t="shared" si="10"/>
        <v>56463669</v>
      </c>
      <c r="L48" s="175">
        <f t="shared" si="10"/>
        <v>39426999</v>
      </c>
      <c r="M48" s="175"/>
      <c r="O48" s="185">
        <f>SUM(O14,O20,SUM(O23:O45))</f>
        <v>1188331148.4249601</v>
      </c>
      <c r="P48" s="185">
        <f t="shared" ref="P48:R48" si="11">SUM(P14,P20,SUM(P23:P45))</f>
        <v>47267387.295680001</v>
      </c>
      <c r="Q48" s="185">
        <f t="shared" si="11"/>
        <v>143642850.21551999</v>
      </c>
      <c r="R48" s="185">
        <f t="shared" si="11"/>
        <v>54657799.464400001</v>
      </c>
      <c r="AV48" s="221">
        <f>2.04*8760</f>
        <v>17870.400000000001</v>
      </c>
      <c r="AW48" s="221" t="s">
        <v>945</v>
      </c>
      <c r="AY48" s="221">
        <f>0.17*8760</f>
        <v>1489.2</v>
      </c>
      <c r="AZ48" s="221" t="s">
        <v>945</v>
      </c>
    </row>
    <row r="49" spans="1:54" x14ac:dyDescent="0.3">
      <c r="G49" s="101"/>
      <c r="R49" s="101"/>
      <c r="AV49" s="221">
        <f>AV48/1000000*19.3*47</f>
        <v>16.210239840000003</v>
      </c>
      <c r="AW49" s="221" t="s">
        <v>947</v>
      </c>
      <c r="AY49" s="221">
        <f>AY48/1000000*19.3*47</f>
        <v>1.3508533199999999</v>
      </c>
      <c r="AZ49" s="221" t="s">
        <v>947</v>
      </c>
    </row>
    <row r="50" spans="1:54" x14ac:dyDescent="0.3">
      <c r="C50" s="221" t="s">
        <v>768</v>
      </c>
      <c r="D50" s="101">
        <v>19395000</v>
      </c>
      <c r="E50" s="101">
        <v>6465000</v>
      </c>
      <c r="F50" s="101">
        <v>6465000</v>
      </c>
      <c r="G50" s="101">
        <v>12930</v>
      </c>
      <c r="I50" s="101">
        <f>I14</f>
        <v>51720000</v>
      </c>
      <c r="J50" s="101">
        <f t="shared" ref="J50:L50" si="12">J14</f>
        <v>38790000</v>
      </c>
      <c r="K50" s="101">
        <f t="shared" si="12"/>
        <v>38790000</v>
      </c>
      <c r="L50" s="101">
        <f t="shared" si="12"/>
        <v>32337930</v>
      </c>
      <c r="M50" s="101"/>
      <c r="O50" s="101">
        <f t="shared" ref="O50:R53" si="13">D50</f>
        <v>19395000</v>
      </c>
      <c r="P50" s="101">
        <f t="shared" si="13"/>
        <v>6465000</v>
      </c>
      <c r="Q50" s="101">
        <f t="shared" si="13"/>
        <v>6465000</v>
      </c>
      <c r="R50" s="101">
        <f t="shared" si="13"/>
        <v>12930</v>
      </c>
    </row>
    <row r="51" spans="1:54" x14ac:dyDescent="0.3">
      <c r="C51" s="221" t="s">
        <v>769</v>
      </c>
      <c r="D51" s="101">
        <v>636065</v>
      </c>
      <c r="E51" s="101">
        <v>186065</v>
      </c>
      <c r="F51" s="101">
        <v>6360650</v>
      </c>
      <c r="G51" s="101">
        <v>1860650</v>
      </c>
      <c r="I51" s="101">
        <f>SUM(I23:I27)</f>
        <v>2804376.9</v>
      </c>
      <c r="J51" s="101">
        <f t="shared" ref="J51:L51" si="14">SUM(J23:J27)</f>
        <v>179286.9</v>
      </c>
      <c r="K51" s="101">
        <f t="shared" si="14"/>
        <v>2823769</v>
      </c>
      <c r="L51" s="101">
        <f t="shared" si="14"/>
        <v>561769</v>
      </c>
      <c r="M51" s="101"/>
      <c r="O51" s="101">
        <f t="shared" si="13"/>
        <v>636065</v>
      </c>
      <c r="P51" s="101">
        <f t="shared" si="13"/>
        <v>186065</v>
      </c>
      <c r="Q51" s="101">
        <f t="shared" si="13"/>
        <v>6360650</v>
      </c>
      <c r="R51" s="101">
        <f t="shared" si="13"/>
        <v>1860650</v>
      </c>
    </row>
    <row r="52" spans="1:54" x14ac:dyDescent="0.3">
      <c r="C52" s="8" t="s">
        <v>770</v>
      </c>
      <c r="D52" s="170">
        <v>78610000</v>
      </c>
      <c r="E52" s="170">
        <v>14760000</v>
      </c>
      <c r="F52" s="170">
        <v>57115000</v>
      </c>
      <c r="G52" s="170">
        <v>25105000</v>
      </c>
      <c r="I52" s="170">
        <f>SUM(I30:I45)</f>
        <v>20438600</v>
      </c>
      <c r="J52" s="170">
        <f t="shared" ref="J52:L52" si="15">SUM(J30:J45)</f>
        <v>3837600</v>
      </c>
      <c r="K52" s="170">
        <f t="shared" si="15"/>
        <v>14849900</v>
      </c>
      <c r="L52" s="170">
        <f t="shared" si="15"/>
        <v>6527300</v>
      </c>
      <c r="M52" s="208"/>
      <c r="O52" s="101">
        <f t="shared" si="13"/>
        <v>78610000</v>
      </c>
      <c r="P52" s="101">
        <f t="shared" si="13"/>
        <v>14760000</v>
      </c>
      <c r="Q52" s="101">
        <f t="shared" si="13"/>
        <v>57115000</v>
      </c>
      <c r="R52" s="101">
        <f t="shared" si="13"/>
        <v>25105000</v>
      </c>
    </row>
    <row r="53" spans="1:54" x14ac:dyDescent="0.3">
      <c r="C53" s="146" t="s">
        <v>773</v>
      </c>
      <c r="D53" s="171">
        <v>98641065</v>
      </c>
      <c r="E53" s="171">
        <v>21411065</v>
      </c>
      <c r="F53" s="171">
        <v>69940650</v>
      </c>
      <c r="G53" s="171">
        <v>26978580</v>
      </c>
      <c r="I53" s="171">
        <f>SUM(I50:I52)</f>
        <v>74962976.900000006</v>
      </c>
      <c r="J53" s="171">
        <f t="shared" ref="J53:L53" si="16">SUM(J50:J52)</f>
        <v>42806886.899999999</v>
      </c>
      <c r="K53" s="171">
        <f t="shared" si="16"/>
        <v>56463669</v>
      </c>
      <c r="L53" s="171">
        <f t="shared" si="16"/>
        <v>39426999</v>
      </c>
      <c r="M53" s="171"/>
      <c r="O53" s="101">
        <f t="shared" si="13"/>
        <v>98641065</v>
      </c>
      <c r="P53" s="101">
        <f t="shared" si="13"/>
        <v>21411065</v>
      </c>
      <c r="Q53" s="101">
        <f t="shared" si="13"/>
        <v>69940650</v>
      </c>
      <c r="R53" s="101">
        <f t="shared" si="13"/>
        <v>26978580</v>
      </c>
      <c r="BB53" s="221" t="s">
        <v>1041</v>
      </c>
    </row>
    <row r="54" spans="1:54" x14ac:dyDescent="0.3">
      <c r="D54" s="101"/>
      <c r="E54" s="101"/>
      <c r="F54" s="101"/>
      <c r="G54" s="101"/>
      <c r="O54" s="101"/>
      <c r="P54" s="101"/>
      <c r="Q54" s="101"/>
      <c r="R54" s="101"/>
      <c r="AS54" s="221" t="s">
        <v>938</v>
      </c>
      <c r="BB54" s="221">
        <f>0.71/0.05</f>
        <v>14.2</v>
      </c>
    </row>
    <row r="55" spans="1:54" x14ac:dyDescent="0.3">
      <c r="O55" s="101"/>
      <c r="AT55" s="221">
        <v>9324</v>
      </c>
      <c r="AU55" s="221" t="s">
        <v>939</v>
      </c>
      <c r="BB55" s="221">
        <f>36.65/2.454</f>
        <v>14.934800325998369</v>
      </c>
    </row>
    <row r="56" spans="1:54" x14ac:dyDescent="0.3">
      <c r="C56" s="221" t="s">
        <v>771</v>
      </c>
      <c r="D56" s="101">
        <v>990144018.42496002</v>
      </c>
      <c r="E56" s="101">
        <v>9903257.2956800014</v>
      </c>
      <c r="F56" s="101">
        <v>1226550.2155200001</v>
      </c>
      <c r="G56" s="101">
        <v>113569.46440000001</v>
      </c>
      <c r="O56" s="101">
        <f>D56</f>
        <v>990144018.42496002</v>
      </c>
      <c r="P56" s="101">
        <f>E56</f>
        <v>9903257.2956800014</v>
      </c>
      <c r="Q56" s="101">
        <f>F56</f>
        <v>1226550.2155200001</v>
      </c>
      <c r="R56" s="101">
        <f>G56</f>
        <v>113569.46440000001</v>
      </c>
      <c r="AT56" s="221">
        <v>276014</v>
      </c>
      <c r="AU56" s="221" t="s">
        <v>109</v>
      </c>
    </row>
    <row r="57" spans="1:54" x14ac:dyDescent="0.3">
      <c r="C57" s="221" t="s">
        <v>772</v>
      </c>
      <c r="D57" s="101">
        <v>20936065</v>
      </c>
      <c r="E57" s="101">
        <v>1193065</v>
      </c>
      <c r="F57" s="101">
        <v>15360650</v>
      </c>
      <c r="G57" s="101">
        <v>2460650</v>
      </c>
      <c r="O57" s="101">
        <f t="shared" ref="O57:R59" si="17">D57</f>
        <v>20936065</v>
      </c>
      <c r="P57" s="101">
        <f t="shared" si="17"/>
        <v>1193065</v>
      </c>
      <c r="Q57" s="101">
        <f t="shared" si="17"/>
        <v>15360650</v>
      </c>
      <c r="R57" s="101">
        <f t="shared" si="17"/>
        <v>2460650</v>
      </c>
      <c r="AT57" s="221">
        <f>AT56/AT55</f>
        <v>29.602531102531103</v>
      </c>
      <c r="AU57" s="221" t="s">
        <v>940</v>
      </c>
    </row>
    <row r="58" spans="1:54" x14ac:dyDescent="0.3">
      <c r="C58" s="8" t="s">
        <v>815</v>
      </c>
      <c r="D58" s="170">
        <v>78610000</v>
      </c>
      <c r="E58" s="170">
        <v>14760000</v>
      </c>
      <c r="F58" s="170">
        <v>57115000</v>
      </c>
      <c r="G58" s="170">
        <v>25105000</v>
      </c>
      <c r="O58" s="101">
        <f t="shared" si="17"/>
        <v>78610000</v>
      </c>
      <c r="P58" s="101">
        <f t="shared" si="17"/>
        <v>14760000</v>
      </c>
      <c r="Q58" s="101">
        <f t="shared" si="17"/>
        <v>57115000</v>
      </c>
      <c r="R58" s="101">
        <f t="shared" si="17"/>
        <v>25105000</v>
      </c>
      <c r="AT58" s="221">
        <v>10</v>
      </c>
      <c r="AU58" s="221" t="s">
        <v>941</v>
      </c>
    </row>
    <row r="59" spans="1:54" x14ac:dyDescent="0.3">
      <c r="C59" s="146" t="s">
        <v>774</v>
      </c>
      <c r="D59" s="171">
        <v>1089690083.4249601</v>
      </c>
      <c r="E59" s="171">
        <v>25856322.295680001</v>
      </c>
      <c r="F59" s="171">
        <v>73702200.215519994</v>
      </c>
      <c r="G59" s="171">
        <v>27679219.464400001</v>
      </c>
      <c r="O59" s="101">
        <f t="shared" si="17"/>
        <v>1089690083.4249601</v>
      </c>
      <c r="P59" s="101">
        <f t="shared" si="17"/>
        <v>25856322.295680001</v>
      </c>
      <c r="Q59" s="101">
        <f t="shared" si="17"/>
        <v>73702200.215519994</v>
      </c>
      <c r="R59" s="101">
        <f t="shared" si="17"/>
        <v>27679219.464400001</v>
      </c>
    </row>
    <row r="60" spans="1:54" x14ac:dyDescent="0.3">
      <c r="C60" s="87" t="s">
        <v>1002</v>
      </c>
      <c r="D60" s="170">
        <f>D53+D59</f>
        <v>1188331148.4249601</v>
      </c>
      <c r="E60" s="170">
        <f t="shared" ref="E60:G60" si="18">E53+E59</f>
        <v>47267387.295680001</v>
      </c>
      <c r="F60" s="170">
        <f t="shared" si="18"/>
        <v>143642850.21551999</v>
      </c>
      <c r="G60" s="170">
        <f t="shared" si="18"/>
        <v>54657799.464400001</v>
      </c>
      <c r="J60" s="221" t="s">
        <v>951</v>
      </c>
      <c r="O60" s="101">
        <f>O53+O59</f>
        <v>1188331148.4249601</v>
      </c>
      <c r="P60" s="101">
        <f t="shared" ref="P60:R60" si="19">P53+P59</f>
        <v>47267387.295680001</v>
      </c>
      <c r="Q60" s="101">
        <f t="shared" si="19"/>
        <v>143642850.21551999</v>
      </c>
      <c r="R60" s="101">
        <f t="shared" si="19"/>
        <v>54657799.464400001</v>
      </c>
      <c r="AS60" s="221" t="s">
        <v>942</v>
      </c>
    </row>
    <row r="61" spans="1:54" x14ac:dyDescent="0.3">
      <c r="C61" s="86" t="s">
        <v>998</v>
      </c>
      <c r="D61" s="233"/>
      <c r="E61" s="233"/>
      <c r="F61" s="233"/>
      <c r="G61" s="233"/>
      <c r="I61" s="221" t="s">
        <v>952</v>
      </c>
      <c r="O61" s="73" t="s">
        <v>781</v>
      </c>
    </row>
    <row r="62" spans="1:54" x14ac:dyDescent="0.3">
      <c r="A62" s="86"/>
      <c r="C62" s="221" t="s">
        <v>1001</v>
      </c>
      <c r="D62" s="101">
        <f>O111</f>
        <v>617566951.86666656</v>
      </c>
      <c r="E62" s="101">
        <f t="shared" ref="E62:G65" si="20">P111</f>
        <v>25578662.870971203</v>
      </c>
      <c r="F62" s="101">
        <f t="shared" si="20"/>
        <v>44779071.032738</v>
      </c>
      <c r="G62" s="101">
        <f t="shared" si="20"/>
        <v>17307685.091735002</v>
      </c>
      <c r="I62" s="221" t="s">
        <v>953</v>
      </c>
      <c r="J62" s="221">
        <v>0.05</v>
      </c>
      <c r="K62" s="221">
        <f>1/24*1/30*0.05</f>
        <v>6.9444444444444444E-5</v>
      </c>
      <c r="O62" s="73" t="s">
        <v>1018</v>
      </c>
    </row>
    <row r="63" spans="1:54" x14ac:dyDescent="0.3">
      <c r="C63" s="221" t="s">
        <v>797</v>
      </c>
      <c r="D63" s="101">
        <f>O112</f>
        <v>583618335.32635522</v>
      </c>
      <c r="E63" s="101">
        <f t="shared" si="20"/>
        <v>25093312.567361601</v>
      </c>
      <c r="F63" s="101">
        <f t="shared" si="20"/>
        <v>42068645.125733607</v>
      </c>
      <c r="G63" s="101">
        <f t="shared" si="20"/>
        <v>16436071.606642004</v>
      </c>
      <c r="I63" s="221" t="s">
        <v>954</v>
      </c>
      <c r="J63" s="221">
        <v>0.18</v>
      </c>
      <c r="K63" s="221">
        <f>3.5/24*1/30*0.18</f>
        <v>8.7500000000000002E-4</v>
      </c>
      <c r="O63" s="73" t="s">
        <v>1019</v>
      </c>
    </row>
    <row r="64" spans="1:54" x14ac:dyDescent="0.3">
      <c r="C64" s="221" t="s">
        <v>798</v>
      </c>
      <c r="D64" s="101">
        <f t="shared" ref="D64:D65" si="21">O113</f>
        <v>563875909.09214354</v>
      </c>
      <c r="E64" s="101">
        <f t="shared" si="20"/>
        <v>24811062.69849325</v>
      </c>
      <c r="F64" s="101">
        <f t="shared" si="20"/>
        <v>40492428.213660277</v>
      </c>
      <c r="G64" s="101">
        <f t="shared" si="20"/>
        <v>15929194.841464842</v>
      </c>
      <c r="I64" s="221" t="s">
        <v>955</v>
      </c>
      <c r="J64" s="221">
        <v>0.26</v>
      </c>
      <c r="K64" s="221">
        <f>15/24*1/30*0.26</f>
        <v>5.4166666666666669E-3</v>
      </c>
      <c r="N64" s="224" t="s">
        <v>980</v>
      </c>
      <c r="O64" s="73" t="s">
        <v>1020</v>
      </c>
    </row>
    <row r="65" spans="1:21" x14ac:dyDescent="0.3">
      <c r="C65" s="221" t="s">
        <v>799</v>
      </c>
      <c r="D65" s="101">
        <f t="shared" si="21"/>
        <v>557443429.68736696</v>
      </c>
      <c r="E65" s="101">
        <f t="shared" si="20"/>
        <v>24719100.01635085</v>
      </c>
      <c r="F65" s="101">
        <f t="shared" si="20"/>
        <v>39978865.0525731</v>
      </c>
      <c r="G65" s="101">
        <f t="shared" si="20"/>
        <v>15764044.200197067</v>
      </c>
      <c r="I65" s="221" t="s">
        <v>956</v>
      </c>
      <c r="J65" s="221">
        <v>0.41</v>
      </c>
      <c r="K65" s="221">
        <f>4*1/30*0.41</f>
        <v>5.4666666666666662E-2</v>
      </c>
      <c r="M65" s="224" t="s">
        <v>978</v>
      </c>
      <c r="N65" s="223" t="s">
        <v>979</v>
      </c>
      <c r="O65" s="73" t="s">
        <v>1021</v>
      </c>
    </row>
    <row r="66" spans="1:21" x14ac:dyDescent="0.3">
      <c r="C66" s="86" t="s">
        <v>999</v>
      </c>
      <c r="I66" s="221" t="s">
        <v>957</v>
      </c>
      <c r="J66" s="221">
        <v>0.1</v>
      </c>
      <c r="K66" s="221">
        <f>18.5*1/30*0.09</f>
        <v>5.5500000000000001E-2</v>
      </c>
      <c r="L66" s="221" t="s">
        <v>912</v>
      </c>
      <c r="M66" s="224">
        <v>7.0000000000000007E-2</v>
      </c>
      <c r="N66" s="224">
        <v>0.93</v>
      </c>
      <c r="O66" s="223" t="s">
        <v>976</v>
      </c>
      <c r="P66" s="223">
        <v>0.875</v>
      </c>
      <c r="Q66" s="223">
        <f>1-P66</f>
        <v>0.125</v>
      </c>
      <c r="R66" s="223">
        <f>1/Q66</f>
        <v>8</v>
      </c>
      <c r="S66" s="241" t="s">
        <v>1053</v>
      </c>
      <c r="T66" s="241" t="s">
        <v>1052</v>
      </c>
      <c r="U66" s="241" t="s">
        <v>1051</v>
      </c>
    </row>
    <row r="67" spans="1:21" x14ac:dyDescent="0.3">
      <c r="C67" s="221" t="s">
        <v>1003</v>
      </c>
      <c r="D67" s="101">
        <f>O70+(0.5*O$20*$N$66)+(O84)+(0.5*O$27*$N$66*$P66)+(0.5*SUM(O$30:O$45)*$N$66*$P66)</f>
        <v>543256700.71510649</v>
      </c>
      <c r="E67" s="101">
        <f>P70+(0.5*P$20*$N$67)+(P84)+(0.5*P$27*$N$67*$P66)+(0.5*SUM(P$30:P$45)*$N$67*$P66)</f>
        <v>22982584.2899912</v>
      </c>
      <c r="F67" s="101">
        <f>Q70+(0.5*Q$20*$N$68)+(Q84)+(0.5*Q$27*$N$68*$P66)+(0.5*SUM(Q$30:Q$45)*$N$68*$P66)</f>
        <v>35813036.644268006</v>
      </c>
      <c r="G67" s="101">
        <f>R70+(0.5*R$20*$N$69)+(R84)+(0.5*R$27*$N$69*$P66)+(0.5*SUM(R$30:R$45)*$N$69*$P66)</f>
        <v>14024962.000210002</v>
      </c>
      <c r="K67" s="221">
        <f>45*1/30*0.01</f>
        <v>1.4999999999999999E-2</v>
      </c>
      <c r="L67" s="221" t="s">
        <v>913</v>
      </c>
      <c r="M67" s="224">
        <v>7.0000000000000007E-2</v>
      </c>
      <c r="N67" s="224">
        <v>0.93</v>
      </c>
      <c r="O67" s="223" t="s">
        <v>782</v>
      </c>
      <c r="P67" s="223">
        <v>0.94</v>
      </c>
      <c r="Q67" s="223">
        <f>1-P67</f>
        <v>6.0000000000000053E-2</v>
      </c>
      <c r="R67" s="223">
        <f>1/Q67</f>
        <v>16.666666666666654</v>
      </c>
      <c r="S67" s="221">
        <f>1-T67</f>
        <v>0.990116</v>
      </c>
      <c r="T67" s="221">
        <f>0.00133+0.000124+0.0077+0.00073</f>
        <v>9.8840000000000004E-3</v>
      </c>
      <c r="U67" s="221">
        <f>1/T67</f>
        <v>101.17361392148928</v>
      </c>
    </row>
    <row r="68" spans="1:21" x14ac:dyDescent="0.3">
      <c r="C68" s="221" t="s">
        <v>801</v>
      </c>
      <c r="D68" s="101">
        <f t="shared" ref="D68:D70" si="22">O71+(0.5*O$20*$N$66)+(O85)+(0.5*O$27*$N$66*$P67)+(0.5*SUM(O$30:O$45)*$N$66*$P67)</f>
        <v>547949414.77360642</v>
      </c>
      <c r="E68" s="101">
        <f t="shared" ref="E68:E70" si="23">P71+(0.5*P$20*$N$67)+(P85)+(0.5*P$27*$N$67*$P67)+(0.5*SUM(P$30:P$45)*$N$67*$P67)</f>
        <v>23847194.848491199</v>
      </c>
      <c r="F68" s="101">
        <f t="shared" ref="F68:F70" si="24">Q71+(0.5*Q$20*$N$68)+(Q85)+(0.5*Q$27*$N$68*$P67)+(0.5*SUM(Q$30:Q$45)*$N$68*$P67)</f>
        <v>37764948.619268</v>
      </c>
      <c r="G68" s="101">
        <f t="shared" ref="G68:G70" si="25">R71+(0.5*R$20*$N$69)+(R85)+(0.5*R$27*$N$69*$P67)+(0.5*SUM(R$30:R$45)*$N$69*$P67)</f>
        <v>14860364.522710003</v>
      </c>
      <c r="L68" s="221" t="s">
        <v>914</v>
      </c>
      <c r="M68" s="224">
        <v>0.45</v>
      </c>
      <c r="N68" s="224">
        <v>0.55000000000000004</v>
      </c>
      <c r="O68" s="223" t="s">
        <v>44</v>
      </c>
      <c r="P68" s="223">
        <v>0.9778</v>
      </c>
      <c r="Q68" s="223">
        <f>1-P68</f>
        <v>2.2199999999999998E-2</v>
      </c>
      <c r="R68" s="223">
        <f>1/Q68</f>
        <v>45.04504504504505</v>
      </c>
      <c r="S68" s="221">
        <f>1-T68</f>
        <v>0.96</v>
      </c>
      <c r="T68" s="221">
        <v>0.04</v>
      </c>
      <c r="U68" s="221">
        <f>1/T68</f>
        <v>25</v>
      </c>
    </row>
    <row r="69" spans="1:21" x14ac:dyDescent="0.3">
      <c r="C69" s="221" t="s">
        <v>802</v>
      </c>
      <c r="D69" s="101">
        <f t="shared" si="22"/>
        <v>550678408.48762643</v>
      </c>
      <c r="E69" s="101">
        <f t="shared" si="23"/>
        <v>24349999.1425112</v>
      </c>
      <c r="F69" s="101">
        <f t="shared" si="24"/>
        <v>38900060.50626801</v>
      </c>
      <c r="G69" s="101">
        <f t="shared" si="25"/>
        <v>15346183.220410001</v>
      </c>
      <c r="J69" s="221" t="s">
        <v>958</v>
      </c>
      <c r="K69" s="221">
        <f>SUM(K62:K67)</f>
        <v>0.13152777777777777</v>
      </c>
      <c r="L69" s="221" t="s">
        <v>915</v>
      </c>
      <c r="M69" s="224">
        <v>0.45</v>
      </c>
      <c r="N69" s="224">
        <v>0.55000000000000004</v>
      </c>
      <c r="O69" s="223" t="s">
        <v>94</v>
      </c>
      <c r="P69" s="223">
        <f>1-Q69</f>
        <v>0.990116</v>
      </c>
      <c r="Q69" s="223">
        <f>0.009884</f>
        <v>9.8840000000000004E-3</v>
      </c>
      <c r="R69" s="223">
        <f>1/Q69</f>
        <v>101.17361392148928</v>
      </c>
    </row>
    <row r="70" spans="1:21" x14ac:dyDescent="0.3">
      <c r="A70" s="101">
        <f>D65-D75</f>
        <v>551567569.50831079</v>
      </c>
      <c r="C70" s="221" t="s">
        <v>803</v>
      </c>
      <c r="D70" s="101">
        <f t="shared" si="22"/>
        <v>551567569.50831079</v>
      </c>
      <c r="E70" s="101">
        <f t="shared" si="23"/>
        <v>24513822.8907956</v>
      </c>
      <c r="F70" s="101">
        <f t="shared" si="24"/>
        <v>39269902.781408004</v>
      </c>
      <c r="G70" s="101">
        <f t="shared" si="25"/>
        <v>15504472.719904002</v>
      </c>
      <c r="J70" s="221" t="s">
        <v>959</v>
      </c>
      <c r="N70" s="221" t="s">
        <v>977</v>
      </c>
      <c r="O70" s="101">
        <f>$O$14*$N$66*$P66+$O$14*(1-$P66)</f>
        <v>18207056.25</v>
      </c>
      <c r="P70" s="101">
        <f>$P$14*$N$67*P66+$P$14*(1-$P66)</f>
        <v>6069018.75</v>
      </c>
      <c r="Q70" s="101">
        <f>$Q$14*$N$68*$P66+$Q$14*(1-$P66)</f>
        <v>3919406.2500000005</v>
      </c>
      <c r="R70" s="101">
        <f>$R$14*$N$69*$P66+$R$14*(1-$P66)</f>
        <v>7838.8125000000009</v>
      </c>
    </row>
    <row r="71" spans="1:21" x14ac:dyDescent="0.3">
      <c r="A71" s="101">
        <f>A70-D70</f>
        <v>0</v>
      </c>
      <c r="C71" s="86" t="s">
        <v>1011</v>
      </c>
      <c r="N71" s="221" t="s">
        <v>783</v>
      </c>
      <c r="O71" s="101">
        <f t="shared" ref="O71:O73" si="26">$O$14*$N$66*$P67+$O$14*(1-$P67)</f>
        <v>18118809</v>
      </c>
      <c r="P71" s="101">
        <f t="shared" ref="P71:P73" si="27">$P$14*$N$67*P67+$P$14*(1-$P67)</f>
        <v>6039603</v>
      </c>
      <c r="Q71" s="101">
        <f t="shared" ref="Q71:Q73" si="28">$Q$14*$N$68*$P67+$Q$14*(1-$P67)</f>
        <v>3730305.0000000009</v>
      </c>
      <c r="R71" s="101">
        <f t="shared" ref="R71:R73" si="29">$R$14*$N$69*$P67+$R$14*(1-$P67)</f>
        <v>7460.6100000000006</v>
      </c>
    </row>
    <row r="72" spans="1:21" x14ac:dyDescent="0.3">
      <c r="C72" s="221" t="s">
        <v>1004</v>
      </c>
      <c r="D72" s="101">
        <f>(0.5*O$20*(1-$P66))+O80+(0.5*O$27*(1-$P66))+(0.5*SUM(O$30:O$45)*(1-$P66))</f>
        <v>74310251.151560009</v>
      </c>
      <c r="E72" s="101">
        <f>(0.5*P$20*(1-$P66))+P80+(0.5*P$27*(1-$P66))+(0.5*SUM(P$30:P$45)*(1-$P66))</f>
        <v>2596078.5809800001</v>
      </c>
      <c r="F72" s="101">
        <f>(0.5*Q$20*(1-$P66))+Q80+(0.5*Q$27*(1-$P66))+(0.5*SUM(Q$30:Q$45)*(1-$P66))</f>
        <v>8966034.3884699997</v>
      </c>
      <c r="G72" s="101">
        <f>(0.5*R$20*(1-$P66))+R80+(0.5*R$27*(1-$P66))+(0.5*SUM(R$30:R$45)*(1-$P66))</f>
        <v>3282723.0915250001</v>
      </c>
      <c r="N72" s="221" t="s">
        <v>784</v>
      </c>
      <c r="O72" s="101">
        <f t="shared" si="26"/>
        <v>18067489.829999998</v>
      </c>
      <c r="P72" s="101">
        <f t="shared" si="27"/>
        <v>6022496.6100000003</v>
      </c>
      <c r="Q72" s="101">
        <f t="shared" si="28"/>
        <v>3620335.3500000006</v>
      </c>
      <c r="R72" s="101">
        <f t="shared" si="29"/>
        <v>7240.6707000000015</v>
      </c>
    </row>
    <row r="73" spans="1:21" x14ac:dyDescent="0.3">
      <c r="C73" s="221" t="s">
        <v>807</v>
      </c>
      <c r="D73" s="101">
        <f t="shared" ref="D73:G75" si="30">(0.5*O$20*(1-$P67))+O81+(0.5*O$27*(1-$P67))+(0.5*SUM(O$30:O$45)*(1-$P67))</f>
        <v>35668920.552748829</v>
      </c>
      <c r="E73" s="101">
        <f t="shared" si="30"/>
        <v>1246117.7188704011</v>
      </c>
      <c r="F73" s="101">
        <f t="shared" si="30"/>
        <v>4303696.5064656045</v>
      </c>
      <c r="G73" s="101">
        <f t="shared" si="30"/>
        <v>1575707.0839320014</v>
      </c>
      <c r="N73" s="8" t="s">
        <v>785</v>
      </c>
      <c r="O73" s="170">
        <f t="shared" si="26"/>
        <v>18050769.012600001</v>
      </c>
      <c r="P73" s="170">
        <f t="shared" si="27"/>
        <v>6016923.0041999994</v>
      </c>
      <c r="Q73" s="170">
        <f t="shared" si="28"/>
        <v>3584505.0270000007</v>
      </c>
      <c r="R73" s="170">
        <f t="shared" si="29"/>
        <v>7169.0100540000003</v>
      </c>
    </row>
    <row r="74" spans="1:21" x14ac:dyDescent="0.3">
      <c r="C74" s="221" t="s">
        <v>808</v>
      </c>
      <c r="D74" s="101">
        <f t="shared" si="30"/>
        <v>13197500.604517056</v>
      </c>
      <c r="E74" s="101">
        <f t="shared" si="30"/>
        <v>461063.55598204792</v>
      </c>
      <c r="F74" s="101">
        <f t="shared" si="30"/>
        <v>1592367.7073922716</v>
      </c>
      <c r="G74" s="101">
        <f t="shared" si="30"/>
        <v>583011.62105483992</v>
      </c>
      <c r="N74" s="221" t="s">
        <v>981</v>
      </c>
      <c r="O74" s="101">
        <f>0.5*$O$20*$N$66+0.5*$O$20*(1-$P66)</f>
        <v>522300969.71916646</v>
      </c>
      <c r="P74" s="101">
        <f>0.5*$P$20*$N$67+0.5*$P$20*(1-$P66)</f>
        <v>5223968.223471201</v>
      </c>
      <c r="Q74" s="101">
        <f>0.5*$Q$20*$N$68+0.5*$Q$20*(1-$P66)</f>
        <v>413960.69773800008</v>
      </c>
      <c r="R74" s="101">
        <f>0.5*$R$20*$N$69+0.5*$R$20*(1-P66)</f>
        <v>38329.69423500001</v>
      </c>
    </row>
    <row r="75" spans="1:21" x14ac:dyDescent="0.3">
      <c r="C75" s="221" t="s">
        <v>809</v>
      </c>
      <c r="D75" s="101">
        <f t="shared" si="30"/>
        <v>5875860.1790561546</v>
      </c>
      <c r="E75" s="101">
        <f t="shared" si="30"/>
        <v>205277.12555525065</v>
      </c>
      <c r="F75" s="101">
        <f t="shared" si="30"/>
        <v>708962.27116510016</v>
      </c>
      <c r="G75" s="101">
        <f t="shared" si="30"/>
        <v>259571.4802930649</v>
      </c>
      <c r="N75" s="221" t="s">
        <v>982</v>
      </c>
      <c r="O75" s="101">
        <f t="shared" ref="O75:O77" si="31">0.5*$O$20*$N$66+0.5*$O$20*(1-$P67)</f>
        <v>490121289.12035525</v>
      </c>
      <c r="P75" s="101">
        <f t="shared" ref="P75:P77" si="32">0.5*$P$20*$N$67+0.5*$P$20*(1-$P67)</f>
        <v>4902112.3613616014</v>
      </c>
      <c r="Q75" s="101">
        <f t="shared" ref="Q75:Q77" si="33">0.5*$Q$20*$N$68+0.5*$Q$20*(1-$P67)</f>
        <v>374097.81573360012</v>
      </c>
      <c r="R75" s="101">
        <f t="shared" ref="R75:R77" si="34">0.5*$R$20*$N$69+0.5*$R$20*(1-P67)</f>
        <v>34638.686642000008</v>
      </c>
    </row>
    <row r="76" spans="1:21" x14ac:dyDescent="0.3">
      <c r="N76" s="221" t="s">
        <v>983</v>
      </c>
      <c r="O76" s="101">
        <f t="shared" si="31"/>
        <v>471407567.17212349</v>
      </c>
      <c r="P76" s="101">
        <f t="shared" si="32"/>
        <v>4714940.7984732492</v>
      </c>
      <c r="Q76" s="101">
        <f t="shared" si="33"/>
        <v>350916.01666027209</v>
      </c>
      <c r="R76" s="101">
        <f t="shared" si="34"/>
        <v>32492.223764840008</v>
      </c>
    </row>
    <row r="77" spans="1:21" x14ac:dyDescent="0.3">
      <c r="C77" s="86" t="s">
        <v>1000</v>
      </c>
      <c r="N77" s="221" t="s">
        <v>984</v>
      </c>
      <c r="O77" s="101">
        <f t="shared" si="31"/>
        <v>465310260.30666262</v>
      </c>
      <c r="P77" s="101">
        <f t="shared" si="32"/>
        <v>4653956.5400464516</v>
      </c>
      <c r="Q77" s="101">
        <f t="shared" si="33"/>
        <v>343362.92043309991</v>
      </c>
      <c r="R77" s="101">
        <f t="shared" si="34"/>
        <v>31792.863003064806</v>
      </c>
    </row>
    <row r="78" spans="1:21" x14ac:dyDescent="0.3">
      <c r="C78" s="221" t="s">
        <v>810</v>
      </c>
      <c r="D78" s="101" t="e">
        <f>O$79+O$81+O$82+O$83+O$96+O$103</f>
        <v>#VALUE!</v>
      </c>
      <c r="E78" s="101" t="e">
        <f t="shared" ref="E78:G78" si="35">P$79+P$81+P$82+P$83+P$96+P$103</f>
        <v>#VALUE!</v>
      </c>
      <c r="F78" s="101" t="e">
        <f t="shared" si="35"/>
        <v>#VALUE!</v>
      </c>
      <c r="G78" s="101" t="e">
        <f t="shared" si="35"/>
        <v>#VALUE!</v>
      </c>
      <c r="I78" s="86" t="s">
        <v>855</v>
      </c>
      <c r="O78" s="101"/>
      <c r="P78" s="101"/>
      <c r="Q78" s="101"/>
      <c r="R78" s="101"/>
    </row>
    <row r="79" spans="1:21" x14ac:dyDescent="0.3">
      <c r="C79" s="221" t="s">
        <v>1010</v>
      </c>
      <c r="D79" s="101">
        <f>D75+D70</f>
        <v>557443429.68736696</v>
      </c>
      <c r="E79" s="101">
        <f t="shared" ref="E79:G79" si="36">E75+E70</f>
        <v>24719100.01635085</v>
      </c>
      <c r="F79" s="101">
        <f t="shared" si="36"/>
        <v>39978865.052573107</v>
      </c>
      <c r="G79" s="101">
        <f t="shared" si="36"/>
        <v>15764044.200197067</v>
      </c>
      <c r="I79" s="175">
        <f>I48</f>
        <v>74962976.900000006</v>
      </c>
      <c r="J79" s="175">
        <f t="shared" ref="J79:L79" si="37">J48</f>
        <v>42806886.899999999</v>
      </c>
      <c r="K79" s="175">
        <f t="shared" si="37"/>
        <v>56463669</v>
      </c>
      <c r="L79" s="175">
        <f t="shared" si="37"/>
        <v>39426999</v>
      </c>
      <c r="M79" s="227"/>
      <c r="N79" s="8" t="s">
        <v>989</v>
      </c>
      <c r="O79" s="228" t="s">
        <v>985</v>
      </c>
      <c r="P79" s="228" t="s">
        <v>985</v>
      </c>
      <c r="Q79" s="228" t="s">
        <v>985</v>
      </c>
      <c r="R79" s="228" t="s">
        <v>985</v>
      </c>
    </row>
    <row r="80" spans="1:21" x14ac:dyDescent="0.3">
      <c r="D80" s="101" t="e">
        <f>D63-D68-D78</f>
        <v>#VALUE!</v>
      </c>
      <c r="E80" s="101" t="e">
        <f t="shared" ref="E80:G80" si="38">E63-E68-E78</f>
        <v>#VALUE!</v>
      </c>
      <c r="F80" s="101" t="e">
        <f t="shared" si="38"/>
        <v>#VALUE!</v>
      </c>
      <c r="G80" s="101" t="e">
        <f t="shared" si="38"/>
        <v>#VALUE!</v>
      </c>
      <c r="I80" s="86" t="s">
        <v>856</v>
      </c>
      <c r="J80" s="86"/>
      <c r="M80" s="221" t="s">
        <v>1008</v>
      </c>
      <c r="N80" s="221" t="s">
        <v>986</v>
      </c>
      <c r="O80" s="101">
        <f>SUM($O$23:$O$25)*(1-$P66)</f>
        <v>2537500</v>
      </c>
      <c r="P80" s="101">
        <f>SUM($P$23:$P$25)*(1-$P66)</f>
        <v>125875</v>
      </c>
      <c r="Q80" s="101">
        <f>SUM($Q$23:$Q$25)*(1-$P66)</f>
        <v>1125000</v>
      </c>
      <c r="R80" s="101">
        <f>SUM($R$23:$R$25)*(1-$P66)</f>
        <v>75000</v>
      </c>
    </row>
    <row r="81" spans="4:21" x14ac:dyDescent="0.3">
      <c r="D81" s="101">
        <f>D67+D72</f>
        <v>617566951.86666656</v>
      </c>
      <c r="E81" s="101">
        <f t="shared" ref="E81:F81" si="39">E67+E72</f>
        <v>25578662.870971199</v>
      </c>
      <c r="F81" s="101">
        <f t="shared" si="39"/>
        <v>44779071.032738008</v>
      </c>
      <c r="G81" s="199" t="s">
        <v>848</v>
      </c>
      <c r="I81" s="8" t="s">
        <v>849</v>
      </c>
      <c r="J81" s="8" t="s">
        <v>850</v>
      </c>
      <c r="K81" s="8" t="s">
        <v>851</v>
      </c>
      <c r="L81" s="8" t="s">
        <v>852</v>
      </c>
      <c r="M81" s="207"/>
      <c r="N81" s="221" t="s">
        <v>1005</v>
      </c>
      <c r="O81" s="101">
        <f t="shared" ref="O81:O83" si="40">SUM($O$23:$O$25)*(1-$P67)</f>
        <v>1218000.0000000012</v>
      </c>
      <c r="P81" s="101">
        <f t="shared" ref="P81:P83" si="41">SUM($P$23:$P$25)*(1-$P67)</f>
        <v>60420.000000000051</v>
      </c>
      <c r="Q81" s="101">
        <f t="shared" ref="Q81:Q83" si="42">SUM($Q$23:$Q$25)*(1-$P67)</f>
        <v>540000.00000000047</v>
      </c>
      <c r="R81" s="101">
        <f t="shared" ref="R81:R83" si="43">SUM($R$23:$R$25)*(1-$P67)</f>
        <v>36000.000000000029</v>
      </c>
    </row>
    <row r="82" spans="4:21" x14ac:dyDescent="0.3">
      <c r="G82" s="200" t="s">
        <v>782</v>
      </c>
      <c r="I82" s="221">
        <v>5.5555555555555558E-5</v>
      </c>
      <c r="J82" s="221">
        <v>3.3333333333333333E-6</v>
      </c>
      <c r="K82" s="221">
        <v>8.88888888888889E-6</v>
      </c>
      <c r="L82" s="221">
        <v>1.5555555555555556E-6</v>
      </c>
      <c r="N82" s="221" t="s">
        <v>1006</v>
      </c>
      <c r="O82" s="101">
        <f t="shared" si="40"/>
        <v>450659.99999999994</v>
      </c>
      <c r="P82" s="101">
        <f t="shared" si="41"/>
        <v>22355.399999999998</v>
      </c>
      <c r="Q82" s="101">
        <f t="shared" si="42"/>
        <v>199799.99999999997</v>
      </c>
      <c r="R82" s="101">
        <f t="shared" si="43"/>
        <v>13319.999999999998</v>
      </c>
    </row>
    <row r="83" spans="4:21" x14ac:dyDescent="0.3">
      <c r="G83" s="200" t="s">
        <v>44</v>
      </c>
      <c r="I83" s="221">
        <v>1.25E-4</v>
      </c>
      <c r="J83" s="221">
        <v>7.4999999999999993E-6</v>
      </c>
      <c r="K83" s="221">
        <v>2.0000000000000002E-5</v>
      </c>
      <c r="L83" s="221">
        <v>3.4999999999999999E-6</v>
      </c>
      <c r="N83" s="8" t="s">
        <v>1007</v>
      </c>
      <c r="O83" s="170">
        <f t="shared" si="40"/>
        <v>200645.20000000007</v>
      </c>
      <c r="P83" s="170">
        <f t="shared" si="41"/>
        <v>9953.1880000000037</v>
      </c>
      <c r="Q83" s="170">
        <f t="shared" si="42"/>
        <v>88956.000000000029</v>
      </c>
      <c r="R83" s="170">
        <f t="shared" si="43"/>
        <v>5930.4000000000024</v>
      </c>
    </row>
    <row r="84" spans="4:21" x14ac:dyDescent="0.3">
      <c r="G84" s="200" t="s">
        <v>94</v>
      </c>
      <c r="I84" s="221">
        <v>3.1250000000000001E-4</v>
      </c>
      <c r="J84" s="221">
        <v>1.8749999999999998E-5</v>
      </c>
      <c r="K84" s="221">
        <v>5.0000000000000002E-5</v>
      </c>
      <c r="L84" s="221">
        <v>8.7499999999999992E-6</v>
      </c>
      <c r="M84" s="221" t="s">
        <v>1009</v>
      </c>
      <c r="N84" s="221" t="s">
        <v>987</v>
      </c>
      <c r="O84" s="215">
        <f>O$26*$N$66*$P66+O$26*(1-$P66)+O$26*0.005+19.3*47*0.1</f>
        <v>256913.39750000002</v>
      </c>
      <c r="P84" s="215">
        <f>P$26*$N$67*$P66+P$26*(1-$P66)+P$26*0.005+19.3*47*0.1</f>
        <v>256913.39750000002</v>
      </c>
      <c r="Q84" s="215">
        <f>Q$26*$N$68*$P66+Q$26*(1-$P66)+Q$26*0.005+19.3*47*0.1</f>
        <v>1663485.3350000002</v>
      </c>
      <c r="R84" s="215">
        <f>R$26*$N$69*$P66+R$26*(1-$P66)+R$26*0.005+19.3*47*0.1</f>
        <v>1663485.3350000002</v>
      </c>
      <c r="S84" s="221" t="s">
        <v>948</v>
      </c>
      <c r="U84" s="221">
        <f>19.3*47*1</f>
        <v>907.1</v>
      </c>
    </row>
    <row r="85" spans="4:21" x14ac:dyDescent="0.3">
      <c r="G85" s="145" t="s">
        <v>911</v>
      </c>
      <c r="I85" s="221">
        <v>1.25E-3</v>
      </c>
      <c r="J85" s="221">
        <v>7.4999999999999993E-5</v>
      </c>
      <c r="K85" s="221">
        <v>2.0000000000000001E-4</v>
      </c>
      <c r="L85" s="221">
        <v>3.4999999999999997E-5</v>
      </c>
      <c r="N85" s="221" t="s">
        <v>786</v>
      </c>
      <c r="O85" s="215">
        <f t="shared" ref="O85:O87" si="44">O$26*$N$66*$P67+O$26*(1-$P67)+O$26*0.005+19.3*47*0.1</f>
        <v>255675.20600000001</v>
      </c>
      <c r="P85" s="215">
        <f t="shared" ref="P85:P87" si="45">P$26*$N$67*$P67+P$26*(1-$P67)+P$26*0.005+19.3*47*0.1</f>
        <v>255675.20600000001</v>
      </c>
      <c r="Q85" s="215">
        <f t="shared" ref="Q85:Q87" si="46">Q$26*$N$68*$P67+Q$26*(1-$P67)+Q$26*0.005+19.3*47*0.1</f>
        <v>1583887.3100000003</v>
      </c>
      <c r="R85" s="215">
        <f t="shared" ref="R85:R87" si="47">R$26*$N$69*$P67+R$26*(1-$P67)+R$26*0.005+19.3*47*0.1</f>
        <v>1583887.3100000003</v>
      </c>
      <c r="S85" s="221" t="s">
        <v>949</v>
      </c>
    </row>
    <row r="86" spans="4:21" x14ac:dyDescent="0.3">
      <c r="I86" s="86" t="s">
        <v>853</v>
      </c>
      <c r="N86" s="221" t="s">
        <v>988</v>
      </c>
      <c r="O86" s="215">
        <f t="shared" si="44"/>
        <v>254955.15002</v>
      </c>
      <c r="P86" s="215">
        <f t="shared" si="45"/>
        <v>254955.15002</v>
      </c>
      <c r="Q86" s="215">
        <f t="shared" si="46"/>
        <v>1537597.9970000002</v>
      </c>
      <c r="R86" s="215">
        <f t="shared" si="47"/>
        <v>1537597.9970000002</v>
      </c>
      <c r="S86" s="221" t="s">
        <v>950</v>
      </c>
    </row>
    <row r="87" spans="4:21" x14ac:dyDescent="0.3">
      <c r="I87" s="8" t="s">
        <v>854</v>
      </c>
      <c r="J87" s="8"/>
      <c r="K87" s="8"/>
      <c r="L87" s="8"/>
      <c r="M87" s="207"/>
      <c r="N87" s="8" t="s">
        <v>787</v>
      </c>
      <c r="O87" s="229">
        <f t="shared" si="44"/>
        <v>254720.54130440002</v>
      </c>
      <c r="P87" s="229">
        <f t="shared" si="45"/>
        <v>254720.54130440002</v>
      </c>
      <c r="Q87" s="229">
        <f t="shared" si="46"/>
        <v>1522516.0081400003</v>
      </c>
      <c r="R87" s="229">
        <f t="shared" si="47"/>
        <v>1522516.0081400003</v>
      </c>
    </row>
    <row r="88" spans="4:21" x14ac:dyDescent="0.3">
      <c r="I88" s="101">
        <f>$I82*I$53</f>
        <v>4164.6098277777783</v>
      </c>
      <c r="J88" s="101">
        <f t="shared" ref="J88:L88" si="48">$I82*J$53</f>
        <v>2378.1603833333334</v>
      </c>
      <c r="K88" s="101">
        <f t="shared" si="48"/>
        <v>3136.8705</v>
      </c>
      <c r="L88" s="101">
        <f t="shared" si="48"/>
        <v>2190.3888333333334</v>
      </c>
      <c r="M88" s="101"/>
      <c r="N88" s="221" t="s">
        <v>788</v>
      </c>
      <c r="O88" s="101">
        <f>0.5*O$27*$N$66*$P66+ 0.5*O$27*(1-$P66)</f>
        <v>469375</v>
      </c>
      <c r="P88" s="101">
        <f>0.5*P$27*$N$67*$P66+ 0.5*P$27*(1-$P66)</f>
        <v>46937.5</v>
      </c>
      <c r="Q88" s="101">
        <f>0.5*Q$27*$N$68*$P66+ 0.5*Q$27*(1-$P66)</f>
        <v>3031250</v>
      </c>
      <c r="R88" s="101">
        <f>0.5*R$27*$N$69*$P66+ 0.5*R$27*(1-$P66)</f>
        <v>303125</v>
      </c>
    </row>
    <row r="89" spans="4:21" x14ac:dyDescent="0.3">
      <c r="I89" s="101">
        <f t="shared" ref="I89:L91" si="49">$I83*I$53</f>
        <v>9370.3721125000011</v>
      </c>
      <c r="J89" s="101">
        <f t="shared" si="49"/>
        <v>5350.8608624999997</v>
      </c>
      <c r="K89" s="101">
        <f t="shared" si="49"/>
        <v>7057.9586250000002</v>
      </c>
      <c r="L89" s="101">
        <f t="shared" si="49"/>
        <v>4928.3748750000004</v>
      </c>
      <c r="M89" s="101"/>
      <c r="N89" s="221" t="s">
        <v>789</v>
      </c>
      <c r="O89" s="101">
        <f t="shared" ref="O89:O91" si="50">0.5*O$27*$N$66*$P67+ 0.5*O$27*(1-$P67)</f>
        <v>467100</v>
      </c>
      <c r="P89" s="101">
        <f t="shared" ref="P89:P91" si="51">0.5*P$27*$N$67*$P67+ 0.5*P$27*(1-$P67)</f>
        <v>46710</v>
      </c>
      <c r="Q89" s="101">
        <f t="shared" ref="Q89:Q91" si="52">0.5*Q$27*$N$68*$P67+ 0.5*Q$27*(1-$P67)</f>
        <v>2885000.0000000005</v>
      </c>
      <c r="R89" s="101">
        <f t="shared" ref="R89:R91" si="53">0.5*R$27*$N$69*$P67+ 0.5*R$27*(1-$P67)</f>
        <v>288500</v>
      </c>
    </row>
    <row r="90" spans="4:21" x14ac:dyDescent="0.3">
      <c r="I90" s="195">
        <f t="shared" si="49"/>
        <v>23425.930281250003</v>
      </c>
      <c r="J90" s="195">
        <f t="shared" si="49"/>
        <v>13377.15215625</v>
      </c>
      <c r="K90" s="195">
        <f t="shared" si="49"/>
        <v>17644.896562500002</v>
      </c>
      <c r="L90" s="195">
        <f t="shared" si="49"/>
        <v>12320.9371875</v>
      </c>
      <c r="M90" s="195"/>
      <c r="N90" s="221" t="s">
        <v>790</v>
      </c>
      <c r="O90" s="101">
        <f t="shared" si="50"/>
        <v>465777</v>
      </c>
      <c r="P90" s="101">
        <f t="shared" si="51"/>
        <v>46577.7</v>
      </c>
      <c r="Q90" s="101">
        <f t="shared" si="52"/>
        <v>2799950</v>
      </c>
      <c r="R90" s="101">
        <f t="shared" si="53"/>
        <v>279995</v>
      </c>
    </row>
    <row r="91" spans="4:21" x14ac:dyDescent="0.3">
      <c r="I91" s="232">
        <f t="shared" si="49"/>
        <v>93703.721125000011</v>
      </c>
      <c r="J91" s="232">
        <f t="shared" si="49"/>
        <v>53508.608625000001</v>
      </c>
      <c r="K91" s="232">
        <f t="shared" si="49"/>
        <v>70579.586250000008</v>
      </c>
      <c r="L91" s="232">
        <f t="shared" si="49"/>
        <v>49283.748749999999</v>
      </c>
      <c r="N91" s="8" t="s">
        <v>790</v>
      </c>
      <c r="O91" s="170">
        <f t="shared" si="50"/>
        <v>465345.94</v>
      </c>
      <c r="P91" s="170">
        <f t="shared" si="51"/>
        <v>46534.593999999997</v>
      </c>
      <c r="Q91" s="170">
        <f t="shared" si="52"/>
        <v>2772239</v>
      </c>
      <c r="R91" s="170">
        <f t="shared" si="53"/>
        <v>277223.90000000002</v>
      </c>
    </row>
    <row r="92" spans="4:21" x14ac:dyDescent="0.3">
      <c r="O92" s="101"/>
      <c r="P92" s="101"/>
      <c r="Q92" s="101"/>
      <c r="R92" s="101"/>
    </row>
    <row r="93" spans="4:21" x14ac:dyDescent="0.3">
      <c r="I93" s="8" t="s">
        <v>966</v>
      </c>
      <c r="J93" s="8"/>
      <c r="K93" s="8"/>
      <c r="L93" s="8"/>
      <c r="M93" s="207"/>
      <c r="O93" s="101"/>
      <c r="P93" s="101"/>
      <c r="Q93" s="101"/>
      <c r="R93" s="101"/>
    </row>
    <row r="94" spans="4:21" x14ac:dyDescent="0.3">
      <c r="I94" s="101">
        <f t="shared" ref="I94:L97" si="54">$K82*I$53</f>
        <v>666.33757244444462</v>
      </c>
      <c r="J94" s="101">
        <f t="shared" si="54"/>
        <v>380.50566133333336</v>
      </c>
      <c r="K94" s="101">
        <f t="shared" si="54"/>
        <v>501.89928000000009</v>
      </c>
      <c r="L94" s="101">
        <f t="shared" si="54"/>
        <v>350.46221333333335</v>
      </c>
      <c r="M94" s="101"/>
      <c r="O94" s="101"/>
      <c r="P94" s="101"/>
      <c r="Q94" s="101"/>
      <c r="R94" s="101"/>
    </row>
    <row r="95" spans="4:21" x14ac:dyDescent="0.3">
      <c r="I95" s="101">
        <f t="shared" si="54"/>
        <v>1499.2595380000002</v>
      </c>
      <c r="J95" s="101">
        <f t="shared" si="54"/>
        <v>856.13773800000001</v>
      </c>
      <c r="K95" s="101">
        <f t="shared" si="54"/>
        <v>1129.2733800000001</v>
      </c>
      <c r="L95" s="101">
        <f t="shared" si="54"/>
        <v>788.53998000000001</v>
      </c>
      <c r="M95" s="101"/>
      <c r="O95" s="101"/>
      <c r="P95" s="101"/>
      <c r="Q95" s="101"/>
      <c r="R95" s="101"/>
    </row>
    <row r="96" spans="4:21" x14ac:dyDescent="0.3">
      <c r="I96" s="101">
        <f t="shared" si="54"/>
        <v>3748.1488450000006</v>
      </c>
      <c r="J96" s="101">
        <f t="shared" si="54"/>
        <v>2140.344345</v>
      </c>
      <c r="K96" s="101">
        <f t="shared" si="54"/>
        <v>2823.18345</v>
      </c>
      <c r="L96" s="101">
        <f t="shared" si="54"/>
        <v>1971.34995</v>
      </c>
      <c r="M96" s="101"/>
      <c r="O96" s="101"/>
      <c r="P96" s="101"/>
      <c r="Q96" s="101"/>
      <c r="R96" s="101"/>
    </row>
    <row r="97" spans="7:22" x14ac:dyDescent="0.3">
      <c r="I97" s="101">
        <f t="shared" si="54"/>
        <v>14992.595380000002</v>
      </c>
      <c r="J97" s="101">
        <f t="shared" si="54"/>
        <v>8561.3773799999999</v>
      </c>
      <c r="K97" s="101">
        <f t="shared" si="54"/>
        <v>11292.7338</v>
      </c>
      <c r="L97" s="101">
        <f t="shared" si="54"/>
        <v>7885.3998000000001</v>
      </c>
      <c r="N97" s="221" t="s">
        <v>992</v>
      </c>
      <c r="O97" s="101"/>
      <c r="P97" s="101"/>
      <c r="Q97" s="101"/>
      <c r="R97" s="101"/>
    </row>
    <row r="98" spans="7:22" x14ac:dyDescent="0.3">
      <c r="G98" s="221" t="s">
        <v>967</v>
      </c>
      <c r="I98" s="184">
        <f>AVERAGE(I89, I90, I95, I96)</f>
        <v>9510.9276941875014</v>
      </c>
      <c r="J98" s="184">
        <f t="shared" ref="J98:L98" si="55">AVERAGE(J89, J90, J95, J96)</f>
        <v>5431.1237754375006</v>
      </c>
      <c r="K98" s="184">
        <f t="shared" si="55"/>
        <v>7163.8280043750001</v>
      </c>
      <c r="L98" s="184">
        <f t="shared" si="55"/>
        <v>5002.3004981250006</v>
      </c>
      <c r="M98" s="184"/>
      <c r="N98" s="230" t="s">
        <v>804</v>
      </c>
      <c r="O98" s="231">
        <f>0.5*SUM(O$30:O$45)*$N$66*$P66+0.5*SUM(O$30:O$45)*(1-$P66)</f>
        <v>73795137.5</v>
      </c>
      <c r="P98" s="231">
        <f>0.5*SUM(P$30:P$45)*$N$67*$P66+0.5*SUM(P$30:P$45)*(1-$P66)</f>
        <v>13855950</v>
      </c>
      <c r="Q98" s="231">
        <f>0.5*SUM(Q$30:Q$45)*$N$68*$P66+0.5*SUM(Q$30:Q$45)*(1-$P66)</f>
        <v>34625968.75</v>
      </c>
      <c r="R98" s="231">
        <f>0.5*SUM(R$30:R$45)*$N$69*$P66+0.5*SUM(R$30:R$45)*(1-$P66)</f>
        <v>15219906.250000002</v>
      </c>
    </row>
    <row r="99" spans="7:22" x14ac:dyDescent="0.3">
      <c r="N99" s="230" t="s">
        <v>804</v>
      </c>
      <c r="O99" s="231">
        <f t="shared" ref="O99:O101" si="56">0.5*SUM(O$30:O$45)*$N$66*$P67+0.5*SUM(O$30:O$45)*(1-$P67)</f>
        <v>73437462</v>
      </c>
      <c r="P99" s="231">
        <f t="shared" ref="P99:P101" si="57">0.5*SUM(P$30:P$45)*$N$67*$P67+0.5*SUM(P$30:P$45)*(1-$P67)</f>
        <v>13788792</v>
      </c>
      <c r="Q99" s="231">
        <f t="shared" ref="Q99:Q101" si="58">0.5*SUM(Q$30:Q$45)*$N$68*$P67+0.5*SUM(Q$30:Q$45)*(1-$P67)</f>
        <v>32955355.000000004</v>
      </c>
      <c r="R99" s="231">
        <f t="shared" ref="R99:R101" si="59">0.5*SUM(R$30:R$45)*$N$69*$P67+0.5*SUM(R$30:R$45)*(1-$P67)</f>
        <v>14485585.000000004</v>
      </c>
    </row>
    <row r="100" spans="7:22" x14ac:dyDescent="0.3">
      <c r="I100" s="86" t="s">
        <v>862</v>
      </c>
      <c r="N100" s="230" t="s">
        <v>805</v>
      </c>
      <c r="O100" s="231">
        <f t="shared" si="56"/>
        <v>73229459.939999998</v>
      </c>
      <c r="P100" s="231">
        <f t="shared" si="57"/>
        <v>13749737.039999999</v>
      </c>
      <c r="Q100" s="231">
        <f t="shared" si="58"/>
        <v>31983828.850000005</v>
      </c>
      <c r="R100" s="231">
        <f t="shared" si="59"/>
        <v>14058548.950000001</v>
      </c>
    </row>
    <row r="101" spans="7:22" x14ac:dyDescent="0.3">
      <c r="G101" s="199" t="s">
        <v>848</v>
      </c>
      <c r="I101" s="202" t="s">
        <v>849</v>
      </c>
      <c r="J101" s="203" t="s">
        <v>850</v>
      </c>
      <c r="K101" s="203" t="s">
        <v>851</v>
      </c>
      <c r="L101" s="203" t="s">
        <v>852</v>
      </c>
      <c r="M101" s="226"/>
      <c r="N101" s="230" t="s">
        <v>806</v>
      </c>
      <c r="O101" s="231">
        <f t="shared" si="56"/>
        <v>73161688.686799988</v>
      </c>
      <c r="P101" s="231">
        <f t="shared" si="57"/>
        <v>13737012.148800001</v>
      </c>
      <c r="Q101" s="231">
        <f t="shared" si="58"/>
        <v>31667286.097000003</v>
      </c>
      <c r="R101" s="231">
        <f t="shared" si="59"/>
        <v>13919412.019000001</v>
      </c>
    </row>
    <row r="102" spans="7:22" x14ac:dyDescent="0.3">
      <c r="G102" s="200" t="s">
        <v>782</v>
      </c>
      <c r="I102" s="201">
        <v>1.3888888888888889E-4</v>
      </c>
      <c r="J102" s="221">
        <v>8.333333333333332E-6</v>
      </c>
      <c r="K102" s="201">
        <v>2.2222222222222223E-5</v>
      </c>
      <c r="L102" s="201">
        <v>3.8888888888888887E-6</v>
      </c>
      <c r="M102" s="201"/>
      <c r="O102" s="101"/>
      <c r="P102" s="101"/>
      <c r="Q102" s="101"/>
      <c r="R102" s="101"/>
    </row>
    <row r="103" spans="7:22" x14ac:dyDescent="0.3">
      <c r="G103" s="200" t="s">
        <v>44</v>
      </c>
      <c r="I103" s="201">
        <v>2.6388888888888892E-4</v>
      </c>
      <c r="J103" s="221">
        <v>1.5833333333333333E-5</v>
      </c>
      <c r="K103" s="221">
        <v>4.2222222222222222E-5</v>
      </c>
      <c r="L103" s="221">
        <v>7.3888888888888883E-6</v>
      </c>
      <c r="O103" s="101"/>
      <c r="P103" s="101"/>
      <c r="Q103" s="101"/>
      <c r="R103" s="101"/>
      <c r="V103" s="221">
        <f>0.125*1000*1.015/8760</f>
        <v>1.4483447488584473E-2</v>
      </c>
    </row>
    <row r="104" spans="7:22" x14ac:dyDescent="0.3">
      <c r="G104" s="200" t="s">
        <v>94</v>
      </c>
      <c r="I104" s="201">
        <v>5.6250000000000007E-4</v>
      </c>
      <c r="J104" s="221">
        <v>3.375E-5</v>
      </c>
      <c r="K104" s="221">
        <v>9.0000000000000006E-5</v>
      </c>
      <c r="L104" s="221">
        <v>1.575E-5</v>
      </c>
      <c r="O104" s="101"/>
      <c r="P104" s="101"/>
      <c r="Q104" s="101"/>
      <c r="R104" s="101"/>
      <c r="V104" s="221">
        <f>0.918*1000*1.015/8760</f>
        <v>0.10636643835616437</v>
      </c>
    </row>
    <row r="105" spans="7:22" x14ac:dyDescent="0.3">
      <c r="G105" s="145" t="s">
        <v>911</v>
      </c>
      <c r="I105" s="221">
        <v>1.25E-3</v>
      </c>
      <c r="J105" s="221">
        <v>7.4999999999999993E-5</v>
      </c>
      <c r="K105" s="221">
        <v>2.0000000000000001E-4</v>
      </c>
      <c r="L105" s="221">
        <v>3.4999999999999997E-5</v>
      </c>
      <c r="O105" s="101"/>
      <c r="P105" s="101"/>
      <c r="Q105" s="101"/>
      <c r="R105" s="101"/>
    </row>
    <row r="106" spans="7:22" x14ac:dyDescent="0.3">
      <c r="I106" s="86" t="s">
        <v>861</v>
      </c>
      <c r="O106" s="101"/>
      <c r="P106" s="101"/>
      <c r="Q106" s="101"/>
      <c r="R106" s="101"/>
    </row>
    <row r="107" spans="7:22" x14ac:dyDescent="0.3">
      <c r="I107" s="8" t="s">
        <v>854</v>
      </c>
      <c r="J107" s="8"/>
      <c r="K107" s="8"/>
      <c r="L107" s="8"/>
      <c r="M107" s="207"/>
      <c r="O107" s="101"/>
      <c r="P107" s="101"/>
      <c r="Q107" s="101"/>
      <c r="R107" s="101"/>
    </row>
    <row r="108" spans="7:22" x14ac:dyDescent="0.3">
      <c r="I108" s="101">
        <f>$I102*I$53</f>
        <v>10411.524569444446</v>
      </c>
      <c r="J108" s="101">
        <f t="shared" ref="J108:L108" si="60">$I102*J$53</f>
        <v>5945.4009583333327</v>
      </c>
      <c r="K108" s="101">
        <f t="shared" si="60"/>
        <v>7842.1762500000004</v>
      </c>
      <c r="L108" s="101">
        <f t="shared" si="60"/>
        <v>5475.9720833333331</v>
      </c>
      <c r="M108" s="101"/>
      <c r="O108" s="101"/>
      <c r="P108" s="101"/>
      <c r="Q108" s="101"/>
      <c r="R108" s="101"/>
    </row>
    <row r="109" spans="7:22" x14ac:dyDescent="0.3">
      <c r="I109" s="101">
        <f t="shared" ref="I109:L111" si="61">$I103*I$53</f>
        <v>19781.896681944447</v>
      </c>
      <c r="J109" s="101">
        <f t="shared" si="61"/>
        <v>11296.261820833333</v>
      </c>
      <c r="K109" s="101">
        <f t="shared" si="61"/>
        <v>14900.134875000002</v>
      </c>
      <c r="L109" s="101">
        <f t="shared" si="61"/>
        <v>10404.346958333335</v>
      </c>
      <c r="M109" s="101"/>
      <c r="O109" s="101"/>
      <c r="P109" s="101"/>
      <c r="Q109" s="101"/>
      <c r="R109" s="101"/>
    </row>
    <row r="110" spans="7:22" x14ac:dyDescent="0.3">
      <c r="I110" s="195">
        <f t="shared" si="61"/>
        <v>42166.674506250005</v>
      </c>
      <c r="J110" s="195">
        <f t="shared" si="61"/>
        <v>24078.873881250001</v>
      </c>
      <c r="K110" s="195">
        <f t="shared" si="61"/>
        <v>31760.813812500004</v>
      </c>
      <c r="L110" s="195">
        <f t="shared" si="61"/>
        <v>22177.686937500002</v>
      </c>
      <c r="M110" s="195"/>
      <c r="N110" s="221" t="s">
        <v>990</v>
      </c>
      <c r="O110" s="101"/>
      <c r="P110" s="101"/>
      <c r="Q110" s="101"/>
      <c r="R110" s="101"/>
    </row>
    <row r="111" spans="7:22" x14ac:dyDescent="0.3">
      <c r="I111" s="232">
        <f t="shared" si="61"/>
        <v>93703.721125000011</v>
      </c>
      <c r="J111" s="232">
        <f t="shared" si="61"/>
        <v>53508.608625000001</v>
      </c>
      <c r="K111" s="232">
        <f t="shared" si="61"/>
        <v>70579.586250000008</v>
      </c>
      <c r="L111" s="232">
        <f t="shared" si="61"/>
        <v>49283.748749999999</v>
      </c>
      <c r="N111" s="221" t="s">
        <v>991</v>
      </c>
      <c r="O111" s="175">
        <f>O70+O74+O80+O84+O88+O98</f>
        <v>617566951.86666656</v>
      </c>
      <c r="P111" s="175">
        <f t="shared" ref="P111:R111" si="62">P70+P74+P80+P84+P88+P98</f>
        <v>25578662.870971203</v>
      </c>
      <c r="Q111" s="175">
        <f t="shared" si="62"/>
        <v>44779071.032738</v>
      </c>
      <c r="R111" s="175">
        <f t="shared" si="62"/>
        <v>17307685.091735002</v>
      </c>
    </row>
    <row r="112" spans="7:22" x14ac:dyDescent="0.3">
      <c r="I112" s="8" t="s">
        <v>966</v>
      </c>
      <c r="J112" s="8"/>
      <c r="K112" s="8"/>
      <c r="L112" s="8"/>
      <c r="N112" s="221" t="s">
        <v>794</v>
      </c>
      <c r="O112" s="175">
        <f t="shared" ref="O112:R114" si="63">O71+O75+O81+O85+O89+O99</f>
        <v>583618335.32635522</v>
      </c>
      <c r="P112" s="175">
        <f t="shared" si="63"/>
        <v>25093312.567361601</v>
      </c>
      <c r="Q112" s="175">
        <f t="shared" si="63"/>
        <v>42068645.125733607</v>
      </c>
      <c r="R112" s="175">
        <f t="shared" si="63"/>
        <v>16436071.606642004</v>
      </c>
    </row>
    <row r="113" spans="7:18" x14ac:dyDescent="0.3">
      <c r="I113" s="208">
        <f>$K102*I$53</f>
        <v>1665.8439311111113</v>
      </c>
      <c r="J113" s="208">
        <f t="shared" ref="J113:L113" si="64">$K102*J$53</f>
        <v>951.2641533333333</v>
      </c>
      <c r="K113" s="208">
        <f t="shared" si="64"/>
        <v>1254.7482</v>
      </c>
      <c r="L113" s="208">
        <f t="shared" si="64"/>
        <v>876.15553333333332</v>
      </c>
      <c r="M113" s="207"/>
      <c r="N113" s="221" t="s">
        <v>795</v>
      </c>
      <c r="O113" s="175">
        <f t="shared" si="63"/>
        <v>563875909.09214354</v>
      </c>
      <c r="P113" s="175">
        <f t="shared" si="63"/>
        <v>24811062.69849325</v>
      </c>
      <c r="Q113" s="175">
        <f t="shared" si="63"/>
        <v>40492428.213660277</v>
      </c>
      <c r="R113" s="175">
        <f t="shared" si="63"/>
        <v>15929194.841464842</v>
      </c>
    </row>
    <row r="114" spans="7:18" x14ac:dyDescent="0.3">
      <c r="I114" s="208">
        <f t="shared" ref="I114:L116" si="65">$K103*I$53</f>
        <v>3165.1034691111113</v>
      </c>
      <c r="J114" s="208">
        <f t="shared" si="65"/>
        <v>1807.4018913333332</v>
      </c>
      <c r="K114" s="208">
        <f t="shared" si="65"/>
        <v>2384.0215800000001</v>
      </c>
      <c r="L114" s="208">
        <f t="shared" si="65"/>
        <v>1664.6955133333333</v>
      </c>
      <c r="M114" s="101"/>
      <c r="N114" s="221" t="s">
        <v>796</v>
      </c>
      <c r="O114" s="175">
        <f t="shared" si="63"/>
        <v>557443429.68736696</v>
      </c>
      <c r="P114" s="175">
        <f t="shared" si="63"/>
        <v>24719100.01635085</v>
      </c>
      <c r="Q114" s="175">
        <f t="shared" si="63"/>
        <v>39978865.0525731</v>
      </c>
      <c r="R114" s="175">
        <f t="shared" si="63"/>
        <v>15764044.200197067</v>
      </c>
    </row>
    <row r="115" spans="7:18" x14ac:dyDescent="0.3">
      <c r="I115" s="208">
        <f t="shared" si="65"/>
        <v>6746.6679210000011</v>
      </c>
      <c r="J115" s="208">
        <f t="shared" si="65"/>
        <v>3852.6198210000002</v>
      </c>
      <c r="K115" s="208">
        <f t="shared" si="65"/>
        <v>5081.7302100000006</v>
      </c>
      <c r="L115" s="208">
        <f t="shared" si="65"/>
        <v>3548.4299100000003</v>
      </c>
      <c r="M115" s="101"/>
      <c r="O115" s="101"/>
      <c r="P115" s="101"/>
      <c r="Q115" s="101"/>
      <c r="R115" s="101"/>
    </row>
    <row r="116" spans="7:18" x14ac:dyDescent="0.3">
      <c r="I116" s="208">
        <f t="shared" si="65"/>
        <v>14992.595380000002</v>
      </c>
      <c r="J116" s="208">
        <f t="shared" si="65"/>
        <v>8561.3773799999999</v>
      </c>
      <c r="K116" s="208">
        <f t="shared" si="65"/>
        <v>11292.7338</v>
      </c>
      <c r="L116" s="208">
        <f t="shared" si="65"/>
        <v>7885.3998000000001</v>
      </c>
      <c r="M116" s="101"/>
      <c r="N116" s="221" t="s">
        <v>843</v>
      </c>
      <c r="O116" s="101"/>
      <c r="P116" s="101"/>
      <c r="Q116" s="101"/>
      <c r="R116" s="101"/>
    </row>
    <row r="117" spans="7:18" x14ac:dyDescent="0.3">
      <c r="G117" s="221" t="s">
        <v>967</v>
      </c>
      <c r="I117" s="184">
        <f>AVERAGE(I109, I110, I115, I116)</f>
        <v>20921.958622298615</v>
      </c>
      <c r="J117" s="184">
        <f t="shared" ref="J117:L117" si="66">AVERAGE(J109, J110, J115, J116)</f>
        <v>11947.283225770834</v>
      </c>
      <c r="K117" s="184">
        <f t="shared" si="66"/>
        <v>15758.853174375003</v>
      </c>
      <c r="L117" s="184">
        <f t="shared" si="66"/>
        <v>11003.965901458334</v>
      </c>
      <c r="M117" s="184"/>
      <c r="N117" s="221" t="s">
        <v>993</v>
      </c>
      <c r="O117" s="190">
        <f>O$14-O70</f>
        <v>1187943.75</v>
      </c>
      <c r="P117" s="190">
        <f t="shared" ref="P117:R118" si="67">P$14-P70</f>
        <v>395981.25</v>
      </c>
      <c r="Q117" s="190">
        <f t="shared" si="67"/>
        <v>2545593.7499999995</v>
      </c>
      <c r="R117" s="190">
        <f t="shared" si="67"/>
        <v>5091.1874999999991</v>
      </c>
    </row>
    <row r="118" spans="7:18" x14ac:dyDescent="0.3">
      <c r="K118" s="101"/>
      <c r="L118" s="101"/>
      <c r="M118" s="101"/>
      <c r="N118" s="221" t="s">
        <v>783</v>
      </c>
      <c r="O118" s="190">
        <f>O$14-O71</f>
        <v>1276191</v>
      </c>
      <c r="P118" s="190">
        <f t="shared" si="67"/>
        <v>425397</v>
      </c>
      <c r="Q118" s="190">
        <f t="shared" si="67"/>
        <v>2734694.9999999991</v>
      </c>
      <c r="R118" s="190">
        <f t="shared" si="67"/>
        <v>5469.3899999999994</v>
      </c>
    </row>
    <row r="119" spans="7:18" x14ac:dyDescent="0.3">
      <c r="K119" s="101">
        <f>O14</f>
        <v>19395000</v>
      </c>
      <c r="L119" s="101">
        <f>O71+O118</f>
        <v>19395000</v>
      </c>
      <c r="N119" s="221" t="s">
        <v>784</v>
      </c>
      <c r="O119" s="190">
        <f t="shared" ref="O119:R120" si="68">O$14-O72</f>
        <v>1327510.1700000018</v>
      </c>
      <c r="P119" s="190">
        <f t="shared" si="68"/>
        <v>442503.38999999966</v>
      </c>
      <c r="Q119" s="190">
        <f t="shared" si="68"/>
        <v>2844664.6499999994</v>
      </c>
      <c r="R119" s="190">
        <f t="shared" si="68"/>
        <v>5689.3292999999985</v>
      </c>
    </row>
    <row r="120" spans="7:18" x14ac:dyDescent="0.3">
      <c r="N120" s="8" t="s">
        <v>785</v>
      </c>
      <c r="O120" s="228">
        <f t="shared" si="68"/>
        <v>1344230.9873999991</v>
      </c>
      <c r="P120" s="228">
        <f t="shared" si="68"/>
        <v>448076.99580000062</v>
      </c>
      <c r="Q120" s="228">
        <f t="shared" si="68"/>
        <v>2880494.9729999993</v>
      </c>
      <c r="R120" s="228">
        <f t="shared" si="68"/>
        <v>5760.9899459999997</v>
      </c>
    </row>
    <row r="121" spans="7:18" x14ac:dyDescent="0.3">
      <c r="N121" s="221" t="s">
        <v>981</v>
      </c>
      <c r="O121" s="190">
        <f t="shared" ref="O121:R123" si="69">O$20-O74</f>
        <v>467843048.70579356</v>
      </c>
      <c r="P121" s="190">
        <f t="shared" si="69"/>
        <v>4679289.0722088004</v>
      </c>
      <c r="Q121" s="190">
        <f t="shared" si="69"/>
        <v>812589.51778200001</v>
      </c>
      <c r="R121" s="190">
        <f t="shared" si="69"/>
        <v>75239.770164999994</v>
      </c>
    </row>
    <row r="122" spans="7:18" x14ac:dyDescent="0.3">
      <c r="K122" s="101">
        <f>0.5*O20</f>
        <v>495072009.21248001</v>
      </c>
      <c r="L122" s="101">
        <f>O122+O75</f>
        <v>990144018.42496002</v>
      </c>
      <c r="M122" s="101"/>
      <c r="N122" s="221" t="s">
        <v>982</v>
      </c>
      <c r="O122" s="190">
        <f t="shared" si="69"/>
        <v>500022729.30460477</v>
      </c>
      <c r="P122" s="190">
        <f t="shared" si="69"/>
        <v>5001144.9343184</v>
      </c>
      <c r="Q122" s="190">
        <f t="shared" si="69"/>
        <v>852452.39978639991</v>
      </c>
      <c r="R122" s="190">
        <f t="shared" si="69"/>
        <v>78930.777758000011</v>
      </c>
    </row>
    <row r="123" spans="7:18" x14ac:dyDescent="0.3">
      <c r="N123" s="221" t="s">
        <v>983</v>
      </c>
      <c r="O123" s="190">
        <f t="shared" si="69"/>
        <v>518736451.25283653</v>
      </c>
      <c r="P123" s="190">
        <f t="shared" si="69"/>
        <v>5188316.4972067522</v>
      </c>
      <c r="Q123" s="190">
        <f t="shared" si="69"/>
        <v>875634.19885972794</v>
      </c>
      <c r="R123" s="190">
        <f t="shared" si="69"/>
        <v>81077.240635160008</v>
      </c>
    </row>
    <row r="124" spans="7:18" x14ac:dyDescent="0.3">
      <c r="N124" s="221" t="s">
        <v>984</v>
      </c>
      <c r="O124" s="190">
        <f>O$20-O77</f>
        <v>524833758.1182974</v>
      </c>
      <c r="P124" s="190">
        <f>P$20-P77</f>
        <v>5249300.7556335498</v>
      </c>
      <c r="Q124" s="190">
        <f>Q$20-Q77</f>
        <v>883187.29508690024</v>
      </c>
      <c r="R124" s="190">
        <f>R$20-R77</f>
        <v>81776.601396935206</v>
      </c>
    </row>
    <row r="125" spans="7:18" x14ac:dyDescent="0.3">
      <c r="O125" s="101"/>
      <c r="P125" s="101"/>
      <c r="Q125" s="101"/>
      <c r="R125" s="101"/>
    </row>
    <row r="126" spans="7:18" x14ac:dyDescent="0.3">
      <c r="K126" s="192">
        <f>0.5*O20</f>
        <v>495072009.21248001</v>
      </c>
      <c r="L126" s="101">
        <f>O126</f>
        <v>0</v>
      </c>
      <c r="M126" s="101"/>
      <c r="O126" s="101"/>
      <c r="P126" s="101"/>
      <c r="Q126" s="101"/>
      <c r="R126" s="101"/>
    </row>
    <row r="127" spans="7:18" x14ac:dyDescent="0.3">
      <c r="N127" s="221" t="s">
        <v>996</v>
      </c>
      <c r="O127" s="101"/>
      <c r="P127" s="101"/>
      <c r="Q127" s="101"/>
      <c r="R127" s="101"/>
    </row>
    <row r="128" spans="7:18" x14ac:dyDescent="0.3">
      <c r="K128" s="101">
        <f>O23</f>
        <v>200000</v>
      </c>
      <c r="L128" s="101">
        <f>O128</f>
        <v>18308341.602499999</v>
      </c>
      <c r="M128" s="101"/>
      <c r="N128" s="221" t="s">
        <v>997</v>
      </c>
      <c r="O128" s="190">
        <f>SUM(O$23:O$27)-SUM(O80, O84, O88)</f>
        <v>18308341.602499999</v>
      </c>
      <c r="P128" s="190">
        <f>SUM(P$23:P$27)-SUM(P80, P84, P88)</f>
        <v>949404.10250000004</v>
      </c>
      <c r="Q128" s="190">
        <f>SUM(Q$23:Q$27)-SUM(Q80, Q84, Q88)</f>
        <v>15901564.664999999</v>
      </c>
      <c r="R128" s="190">
        <f>SUM(R$23:R$27)-SUM(R80, R84, R88)</f>
        <v>2279689.665</v>
      </c>
    </row>
    <row r="129" spans="11:18" x14ac:dyDescent="0.3">
      <c r="K129" s="101">
        <f t="shared" ref="K129:K131" si="70">O24</f>
        <v>100000</v>
      </c>
      <c r="L129" s="101">
        <f t="shared" ref="L129:L130" si="71">O129</f>
        <v>19631354.794</v>
      </c>
      <c r="M129" s="101"/>
      <c r="N129" s="221" t="s">
        <v>997</v>
      </c>
      <c r="O129" s="190">
        <f t="shared" ref="O129:R131" si="72">SUM(O$23:O$27)-SUM(O81, O85, O89)</f>
        <v>19631354.794</v>
      </c>
      <c r="P129" s="190">
        <f t="shared" si="72"/>
        <v>1016324.794</v>
      </c>
      <c r="Q129" s="190">
        <f t="shared" si="72"/>
        <v>16712412.689999999</v>
      </c>
      <c r="R129" s="190">
        <f t="shared" si="72"/>
        <v>2412912.6899999995</v>
      </c>
    </row>
    <row r="130" spans="11:18" x14ac:dyDescent="0.3">
      <c r="K130" s="101">
        <f t="shared" si="70"/>
        <v>20000000</v>
      </c>
      <c r="L130" s="101">
        <f t="shared" si="71"/>
        <v>20400737.84998</v>
      </c>
      <c r="M130" s="101"/>
      <c r="N130" s="221" t="s">
        <v>997</v>
      </c>
      <c r="O130" s="190">
        <f t="shared" si="72"/>
        <v>20400737.84998</v>
      </c>
      <c r="P130" s="190">
        <f t="shared" si="72"/>
        <v>1055241.7499799998</v>
      </c>
      <c r="Q130" s="190">
        <f t="shared" si="72"/>
        <v>17183952.002999999</v>
      </c>
      <c r="R130" s="190">
        <f t="shared" si="72"/>
        <v>2490387.0029999996</v>
      </c>
    </row>
    <row r="131" spans="11:18" x14ac:dyDescent="0.3">
      <c r="K131" s="101">
        <f t="shared" si="70"/>
        <v>272130</v>
      </c>
      <c r="L131" s="101">
        <f>O84+O131</f>
        <v>20908331.716195602</v>
      </c>
      <c r="M131" s="101"/>
      <c r="N131" s="221" t="s">
        <v>997</v>
      </c>
      <c r="O131" s="190">
        <f t="shared" si="72"/>
        <v>20651418.318695601</v>
      </c>
      <c r="P131" s="190">
        <f t="shared" si="72"/>
        <v>1067921.6766955999</v>
      </c>
      <c r="Q131" s="190">
        <f t="shared" si="72"/>
        <v>17337588.991859999</v>
      </c>
      <c r="R131" s="190">
        <f t="shared" si="72"/>
        <v>2515629.6918599997</v>
      </c>
    </row>
    <row r="132" spans="11:18" x14ac:dyDescent="0.3">
      <c r="O132" s="190"/>
      <c r="P132" s="190"/>
      <c r="Q132" s="190"/>
      <c r="R132" s="190"/>
    </row>
    <row r="133" spans="11:18" x14ac:dyDescent="0.3">
      <c r="O133" s="190"/>
      <c r="P133" s="190"/>
      <c r="Q133" s="190"/>
      <c r="R133" s="190"/>
    </row>
    <row r="135" spans="11:18" x14ac:dyDescent="0.3">
      <c r="K135" s="101">
        <f>O27</f>
        <v>1000000</v>
      </c>
      <c r="L135" s="101">
        <f>O88+O135</f>
        <v>469375</v>
      </c>
      <c r="M135" s="101"/>
      <c r="O135" s="190"/>
      <c r="P135" s="190"/>
      <c r="Q135" s="190"/>
      <c r="R135" s="190"/>
    </row>
    <row r="136" spans="11:18" x14ac:dyDescent="0.3">
      <c r="O136" s="190"/>
      <c r="P136" s="190"/>
      <c r="Q136" s="190"/>
      <c r="R136" s="190"/>
    </row>
    <row r="137" spans="11:18" x14ac:dyDescent="0.3">
      <c r="O137" s="190"/>
      <c r="P137" s="190"/>
      <c r="Q137" s="190"/>
      <c r="R137" s="190"/>
    </row>
    <row r="138" spans="11:18" x14ac:dyDescent="0.3">
      <c r="N138" s="221" t="s">
        <v>995</v>
      </c>
      <c r="O138" s="190">
        <f t="shared" ref="O138:R140" si="73">SUM(O$30:O$45)-O98</f>
        <v>83424862.5</v>
      </c>
      <c r="P138" s="190">
        <f t="shared" si="73"/>
        <v>15664050</v>
      </c>
      <c r="Q138" s="190">
        <f t="shared" si="73"/>
        <v>79604031.25</v>
      </c>
      <c r="R138" s="190">
        <f t="shared" si="73"/>
        <v>34990093.75</v>
      </c>
    </row>
    <row r="139" spans="11:18" x14ac:dyDescent="0.3">
      <c r="K139" s="101">
        <f>SUM(O30:O45)</f>
        <v>157220000</v>
      </c>
      <c r="L139" s="101">
        <f>O106+O139</f>
        <v>83782538</v>
      </c>
      <c r="M139" s="101"/>
      <c r="N139" s="221" t="s">
        <v>791</v>
      </c>
      <c r="O139" s="190">
        <f t="shared" si="73"/>
        <v>83782538</v>
      </c>
      <c r="P139" s="190">
        <f t="shared" si="73"/>
        <v>15731208</v>
      </c>
      <c r="Q139" s="190">
        <f t="shared" si="73"/>
        <v>81274645</v>
      </c>
      <c r="R139" s="190">
        <f t="shared" si="73"/>
        <v>35724415</v>
      </c>
    </row>
    <row r="140" spans="11:18" x14ac:dyDescent="0.3">
      <c r="N140" s="221" t="s">
        <v>792</v>
      </c>
      <c r="O140" s="190">
        <f t="shared" si="73"/>
        <v>83990540.060000002</v>
      </c>
      <c r="P140" s="190">
        <f t="shared" si="73"/>
        <v>15770262.960000001</v>
      </c>
      <c r="Q140" s="190">
        <f t="shared" si="73"/>
        <v>82246171.149999991</v>
      </c>
      <c r="R140" s="190">
        <f t="shared" si="73"/>
        <v>36151451.049999997</v>
      </c>
    </row>
    <row r="141" spans="11:18" x14ac:dyDescent="0.3">
      <c r="N141" s="221" t="s">
        <v>793</v>
      </c>
      <c r="O141" s="190">
        <f>SUM(O$30:O$45)-O101</f>
        <v>84058311.313200012</v>
      </c>
      <c r="P141" s="190">
        <f t="shared" ref="P141:R141" si="74">SUM(P$30:P$45)-P101</f>
        <v>15782987.851199999</v>
      </c>
      <c r="Q141" s="190">
        <f t="shared" si="74"/>
        <v>82562713.902999997</v>
      </c>
      <c r="R141" s="190">
        <f t="shared" si="74"/>
        <v>36290587.980999999</v>
      </c>
    </row>
    <row r="142" spans="11:18" x14ac:dyDescent="0.3">
      <c r="N142" s="174" t="s">
        <v>844</v>
      </c>
      <c r="O142" s="186"/>
      <c r="P142" s="186"/>
      <c r="Q142" s="186"/>
      <c r="R142" s="186"/>
    </row>
    <row r="143" spans="11:18" x14ac:dyDescent="0.3">
      <c r="N143" s="186" t="s">
        <v>994</v>
      </c>
      <c r="O143" s="175">
        <f t="shared" ref="O143:R146" si="75">O117+O121+O128+O138</f>
        <v>570764196.55829358</v>
      </c>
      <c r="P143" s="175">
        <f t="shared" si="75"/>
        <v>21688724.424708799</v>
      </c>
      <c r="Q143" s="175">
        <f t="shared" si="75"/>
        <v>98863779.182781994</v>
      </c>
      <c r="R143" s="175">
        <f t="shared" si="75"/>
        <v>37350114.372665003</v>
      </c>
    </row>
    <row r="144" spans="11:18" x14ac:dyDescent="0.3">
      <c r="L144" s="66">
        <f>O144+O112</f>
        <v>1188331148.4249601</v>
      </c>
      <c r="M144" s="66"/>
      <c r="N144" s="186" t="s">
        <v>807</v>
      </c>
      <c r="O144" s="175">
        <f t="shared" si="75"/>
        <v>604712813.0986048</v>
      </c>
      <c r="P144" s="175">
        <f t="shared" si="75"/>
        <v>22174074.728318401</v>
      </c>
      <c r="Q144" s="175">
        <f t="shared" si="75"/>
        <v>101574205.0897864</v>
      </c>
      <c r="R144" s="175">
        <f t="shared" si="75"/>
        <v>38221727.857758</v>
      </c>
    </row>
    <row r="145" spans="9:18" x14ac:dyDescent="0.3">
      <c r="L145" s="66">
        <f t="shared" ref="L145:L146" si="76">O145+O113</f>
        <v>1188331148.4249601</v>
      </c>
      <c r="M145" s="66"/>
      <c r="N145" s="186" t="s">
        <v>808</v>
      </c>
      <c r="O145" s="175">
        <f t="shared" si="75"/>
        <v>624455239.3328166</v>
      </c>
      <c r="P145" s="175">
        <f t="shared" si="75"/>
        <v>22456324.597186752</v>
      </c>
      <c r="Q145" s="175">
        <f t="shared" si="75"/>
        <v>103150422.00185972</v>
      </c>
      <c r="R145" s="175">
        <f t="shared" si="75"/>
        <v>38728604.622935154</v>
      </c>
    </row>
    <row r="146" spans="9:18" x14ac:dyDescent="0.3">
      <c r="L146" s="66">
        <f t="shared" si="76"/>
        <v>1188331148.4249599</v>
      </c>
      <c r="M146" s="66"/>
      <c r="N146" s="186" t="s">
        <v>809</v>
      </c>
      <c r="O146" s="175">
        <f>O120+O124+O131+O141</f>
        <v>630887718.73759294</v>
      </c>
      <c r="P146" s="175">
        <f t="shared" si="75"/>
        <v>22548287.279329151</v>
      </c>
      <c r="Q146" s="175">
        <f t="shared" si="75"/>
        <v>103663985.16294689</v>
      </c>
      <c r="R146" s="175">
        <f t="shared" si="75"/>
        <v>38893755.264202937</v>
      </c>
    </row>
    <row r="147" spans="9:18" x14ac:dyDescent="0.3">
      <c r="M147" s="5" t="s">
        <v>845</v>
      </c>
      <c r="N147" s="221" t="s">
        <v>994</v>
      </c>
      <c r="O147" s="191">
        <f>(O117+O121)/O143</f>
        <v>0.82175966061650163</v>
      </c>
      <c r="P147" s="191">
        <f t="shared" ref="P147:R148" si="77">(P117+P121)/P143</f>
        <v>0.23400501674625077</v>
      </c>
      <c r="Q147" s="191">
        <f t="shared" si="77"/>
        <v>3.3967781684466063E-2</v>
      </c>
      <c r="R147" s="191">
        <f t="shared" si="77"/>
        <v>2.1507553327277328E-3</v>
      </c>
    </row>
    <row r="148" spans="9:18" x14ac:dyDescent="0.3">
      <c r="N148" s="221" t="s">
        <v>807</v>
      </c>
      <c r="O148" s="191">
        <f>(O118+O122)/O144</f>
        <v>0.82898676767886292</v>
      </c>
      <c r="P148" s="191">
        <f t="shared" si="77"/>
        <v>0.24472461650849359</v>
      </c>
      <c r="Q148" s="191">
        <f t="shared" si="77"/>
        <v>3.5315535047658449E-2</v>
      </c>
      <c r="R148" s="191">
        <f t="shared" si="77"/>
        <v>2.2081724843025117E-3</v>
      </c>
    </row>
    <row r="149" spans="9:18" x14ac:dyDescent="0.3">
      <c r="N149" s="221" t="s">
        <v>808</v>
      </c>
      <c r="O149" s="191">
        <f t="shared" ref="O149:R150" si="78">(O119+O123)/O145</f>
        <v>0.83282824558968505</v>
      </c>
      <c r="P149" s="191">
        <f t="shared" si="78"/>
        <v>0.25074539080683583</v>
      </c>
      <c r="Q149" s="191">
        <f t="shared" si="78"/>
        <v>3.6066734160260183E-2</v>
      </c>
      <c r="R149" s="191">
        <f t="shared" si="78"/>
        <v>2.2403742861362135E-3</v>
      </c>
    </row>
    <row r="150" spans="9:18" x14ac:dyDescent="0.3">
      <c r="N150" s="221" t="s">
        <v>809</v>
      </c>
      <c r="O150" s="191">
        <f t="shared" si="78"/>
        <v>0.8340279474112765</v>
      </c>
      <c r="P150" s="191">
        <f t="shared" si="78"/>
        <v>0.25267452382764999</v>
      </c>
      <c r="Q150" s="191">
        <f t="shared" si="78"/>
        <v>3.6306555860946874E-2</v>
      </c>
      <c r="R150" s="191">
        <f t="shared" si="78"/>
        <v>2.2506849942438732E-3</v>
      </c>
    </row>
    <row r="151" spans="9:18" x14ac:dyDescent="0.3">
      <c r="M151" s="5" t="s">
        <v>846</v>
      </c>
      <c r="N151" s="221" t="s">
        <v>994</v>
      </c>
      <c r="O151" s="191">
        <f t="shared" ref="O151:R154" si="79">(O128)/O143</f>
        <v>3.2076892196285692E-2</v>
      </c>
      <c r="P151" s="191">
        <f t="shared" si="79"/>
        <v>4.3774086659443878E-2</v>
      </c>
      <c r="Q151" s="191">
        <f t="shared" si="79"/>
        <v>0.16084318034819164</v>
      </c>
      <c r="R151" s="191">
        <f t="shared" si="79"/>
        <v>6.1035680968848927E-2</v>
      </c>
    </row>
    <row r="152" spans="9:18" x14ac:dyDescent="0.3">
      <c r="N152" s="221" t="s">
        <v>807</v>
      </c>
      <c r="O152" s="191">
        <f t="shared" si="79"/>
        <v>3.2463930594437231E-2</v>
      </c>
      <c r="P152" s="191">
        <f t="shared" si="79"/>
        <v>4.5833921209891867E-2</v>
      </c>
      <c r="Q152" s="191">
        <f t="shared" si="79"/>
        <v>0.16453402392100516</v>
      </c>
      <c r="R152" s="191">
        <f t="shared" si="79"/>
        <v>6.3129346192292615E-2</v>
      </c>
    </row>
    <row r="153" spans="9:18" x14ac:dyDescent="0.3">
      <c r="N153" s="221" t="s">
        <v>808</v>
      </c>
      <c r="O153" s="191">
        <f t="shared" si="79"/>
        <v>3.2669655989717779E-2</v>
      </c>
      <c r="P153" s="191">
        <f t="shared" si="79"/>
        <v>4.6990848632113058E-2</v>
      </c>
      <c r="Q153" s="191">
        <f t="shared" si="79"/>
        <v>0.1665911943888139</v>
      </c>
      <c r="R153" s="191">
        <f t="shared" si="79"/>
        <v>6.4303556176283916E-2</v>
      </c>
    </row>
    <row r="154" spans="9:18" x14ac:dyDescent="0.3">
      <c r="N154" s="221" t="s">
        <v>809</v>
      </c>
      <c r="O154" s="191">
        <f>(O131)/O146</f>
        <v>3.2733904473555314E-2</v>
      </c>
      <c r="P154" s="191">
        <f t="shared" si="79"/>
        <v>4.7361542961828554E-2</v>
      </c>
      <c r="Q154" s="191">
        <f t="shared" si="79"/>
        <v>0.16724794985073616</v>
      </c>
      <c r="R154" s="191">
        <f t="shared" si="79"/>
        <v>6.4679526951601327E-2</v>
      </c>
    </row>
    <row r="155" spans="9:18" x14ac:dyDescent="0.3">
      <c r="M155" s="5" t="s">
        <v>847</v>
      </c>
      <c r="N155" s="221" t="s">
        <v>994</v>
      </c>
      <c r="O155" s="191">
        <f t="shared" ref="O155:R158" si="80">O138/O143</f>
        <v>0.14616344718721264</v>
      </c>
      <c r="P155" s="191">
        <f t="shared" si="80"/>
        <v>0.72222089659430544</v>
      </c>
      <c r="Q155" s="191">
        <f t="shared" si="80"/>
        <v>0.80518903796734231</v>
      </c>
      <c r="R155" s="191">
        <f t="shared" si="80"/>
        <v>0.93681356369842328</v>
      </c>
    </row>
    <row r="156" spans="9:18" x14ac:dyDescent="0.3">
      <c r="N156" s="221" t="s">
        <v>807</v>
      </c>
      <c r="O156" s="191">
        <f t="shared" si="80"/>
        <v>0.13854930172669977</v>
      </c>
      <c r="P156" s="191">
        <f t="shared" si="80"/>
        <v>0.70944146228161453</v>
      </c>
      <c r="Q156" s="191">
        <f t="shared" si="80"/>
        <v>0.80015044103133637</v>
      </c>
      <c r="R156" s="191">
        <f t="shared" si="80"/>
        <v>0.9346624813234049</v>
      </c>
    </row>
    <row r="157" spans="9:18" x14ac:dyDescent="0.3">
      <c r="N157" s="221" t="s">
        <v>808</v>
      </c>
      <c r="O157" s="191">
        <f t="shared" si="80"/>
        <v>0.13450209842059707</v>
      </c>
      <c r="P157" s="191">
        <f t="shared" si="80"/>
        <v>0.70226376056105122</v>
      </c>
      <c r="Q157" s="191">
        <f t="shared" si="80"/>
        <v>0.79734207145092584</v>
      </c>
      <c r="R157" s="191">
        <f t="shared" si="80"/>
        <v>0.93345606953757998</v>
      </c>
    </row>
    <row r="158" spans="9:18" x14ac:dyDescent="0.3">
      <c r="I158" s="221" t="s">
        <v>960</v>
      </c>
      <c r="K158" s="221" t="s">
        <v>35</v>
      </c>
      <c r="N158" s="221" t="s">
        <v>809</v>
      </c>
      <c r="O158" s="191">
        <f t="shared" si="80"/>
        <v>0.13323814811516824</v>
      </c>
      <c r="P158" s="191">
        <f t="shared" si="80"/>
        <v>0.69996393321052142</v>
      </c>
      <c r="Q158" s="191">
        <f t="shared" si="80"/>
        <v>0.79644549428831701</v>
      </c>
      <c r="R158" s="191">
        <f t="shared" si="80"/>
        <v>0.93306978805415475</v>
      </c>
    </row>
    <row r="159" spans="9:18" x14ac:dyDescent="0.3">
      <c r="J159" s="221" t="s">
        <v>897</v>
      </c>
      <c r="K159" s="221" t="s">
        <v>36</v>
      </c>
      <c r="L159" s="221" t="s">
        <v>961</v>
      </c>
    </row>
    <row r="160" spans="9:18" x14ac:dyDescent="0.3">
      <c r="I160" s="221" t="s">
        <v>28</v>
      </c>
      <c r="J160" s="221">
        <v>0.67500000000000004</v>
      </c>
      <c r="K160" s="221">
        <v>1E-3</v>
      </c>
      <c r="L160" s="221">
        <f>J160*K160</f>
        <v>6.7500000000000004E-4</v>
      </c>
      <c r="O160" s="1">
        <f>O147+O151+O155</f>
        <v>1</v>
      </c>
      <c r="P160" s="1">
        <f t="shared" ref="P160:R160" si="81">P147+P151+P155</f>
        <v>1</v>
      </c>
      <c r="Q160" s="1">
        <f t="shared" si="81"/>
        <v>1</v>
      </c>
      <c r="R160" s="1">
        <f t="shared" si="81"/>
        <v>1</v>
      </c>
    </row>
    <row r="161" spans="9:18" x14ac:dyDescent="0.3">
      <c r="I161" s="221" t="s">
        <v>9</v>
      </c>
      <c r="J161" s="221">
        <v>0.13100000000000001</v>
      </c>
      <c r="K161" s="221">
        <v>2.9000000000000001E-2</v>
      </c>
      <c r="L161" s="221">
        <f t="shared" ref="L161:L166" si="82">J161*K161</f>
        <v>3.7990000000000003E-3</v>
      </c>
      <c r="O161" s="1">
        <f t="shared" ref="O161:R163" si="83">O148+O152+O156</f>
        <v>0.99999999999999989</v>
      </c>
      <c r="P161" s="1">
        <f t="shared" si="83"/>
        <v>1</v>
      </c>
      <c r="Q161" s="1">
        <f t="shared" si="83"/>
        <v>1</v>
      </c>
      <c r="R161" s="1">
        <f t="shared" si="83"/>
        <v>1</v>
      </c>
    </row>
    <row r="162" spans="9:18" x14ac:dyDescent="0.3">
      <c r="I162" s="221" t="s">
        <v>8</v>
      </c>
      <c r="J162" s="221">
        <v>0.06</v>
      </c>
      <c r="K162" s="221">
        <v>0.45100000000000001</v>
      </c>
      <c r="L162" s="221">
        <f t="shared" si="82"/>
        <v>2.7060000000000001E-2</v>
      </c>
      <c r="O162" s="1">
        <f t="shared" si="83"/>
        <v>1</v>
      </c>
      <c r="P162" s="1">
        <f t="shared" si="83"/>
        <v>1</v>
      </c>
      <c r="Q162" s="1">
        <f t="shared" si="83"/>
        <v>0.99999999999999989</v>
      </c>
      <c r="R162" s="1">
        <f t="shared" si="83"/>
        <v>1</v>
      </c>
    </row>
    <row r="163" spans="9:18" x14ac:dyDescent="0.3">
      <c r="I163" s="221" t="s">
        <v>7</v>
      </c>
      <c r="J163" s="221">
        <v>4.2999999999999997E-2</v>
      </c>
      <c r="K163" s="221">
        <v>1.008</v>
      </c>
      <c r="L163" s="221">
        <f t="shared" si="82"/>
        <v>4.3343999999999994E-2</v>
      </c>
      <c r="O163" s="1">
        <f t="shared" si="83"/>
        <v>1</v>
      </c>
      <c r="P163" s="1">
        <f t="shared" si="83"/>
        <v>1</v>
      </c>
      <c r="Q163" s="1">
        <f t="shared" si="83"/>
        <v>1</v>
      </c>
      <c r="R163" s="1">
        <f t="shared" si="83"/>
        <v>1</v>
      </c>
    </row>
    <row r="164" spans="9:18" x14ac:dyDescent="0.3">
      <c r="I164" s="221" t="s">
        <v>6</v>
      </c>
      <c r="J164" s="221">
        <v>2.4E-2</v>
      </c>
      <c r="K164" s="221">
        <v>2.5529999999999999</v>
      </c>
      <c r="L164" s="221">
        <f t="shared" si="82"/>
        <v>6.1272E-2</v>
      </c>
    </row>
    <row r="165" spans="9:18" x14ac:dyDescent="0.3">
      <c r="I165" s="221" t="s">
        <v>5</v>
      </c>
      <c r="J165" s="221">
        <v>2.4E-2</v>
      </c>
      <c r="K165" s="221">
        <v>5.6909999999999998</v>
      </c>
      <c r="L165" s="221">
        <f t="shared" si="82"/>
        <v>0.13658400000000001</v>
      </c>
    </row>
    <row r="166" spans="9:18" x14ac:dyDescent="0.3">
      <c r="I166" s="221" t="s">
        <v>4</v>
      </c>
      <c r="J166" s="221">
        <v>4.2999999999999997E-2</v>
      </c>
      <c r="K166" s="221">
        <v>9.5969999999999995</v>
      </c>
      <c r="L166" s="221">
        <f t="shared" si="82"/>
        <v>0.41267099999999995</v>
      </c>
    </row>
    <row r="168" spans="9:18" x14ac:dyDescent="0.3">
      <c r="I168" s="221" t="s">
        <v>97</v>
      </c>
      <c r="J168" s="221">
        <f>SUM(J160:J166)</f>
        <v>1.0000000000000002</v>
      </c>
      <c r="L168" s="221">
        <f t="shared" ref="L168" si="84">SUM(L160:L166)</f>
        <v>0.68540500000000004</v>
      </c>
    </row>
    <row r="170" spans="9:18" ht="43.2" x14ac:dyDescent="0.3">
      <c r="L170" s="221" t="s">
        <v>962</v>
      </c>
      <c r="N170" s="2" t="s">
        <v>973</v>
      </c>
      <c r="O170" s="219" t="s">
        <v>974</v>
      </c>
    </row>
    <row r="171" spans="9:18" x14ac:dyDescent="0.3">
      <c r="J171" s="221" t="s">
        <v>963</v>
      </c>
      <c r="L171" s="101">
        <f>0.01*1000000*$L$168</f>
        <v>6854.05</v>
      </c>
      <c r="M171" s="101"/>
      <c r="N171" s="221">
        <v>5.6000000000000001E-2</v>
      </c>
      <c r="O171" s="216">
        <f>L171*N171</f>
        <v>383.82679999999999</v>
      </c>
    </row>
    <row r="172" spans="9:18" x14ac:dyDescent="0.3">
      <c r="J172" s="221" t="s">
        <v>44</v>
      </c>
      <c r="K172" s="221">
        <v>2.5000000000000001E-2</v>
      </c>
      <c r="L172" s="101">
        <f>0.025*1000000*$L$168</f>
        <v>17135.125</v>
      </c>
      <c r="M172" s="101"/>
      <c r="N172" s="221">
        <v>0.106</v>
      </c>
      <c r="O172" s="216">
        <f t="shared" ref="O172:O173" si="85">L172*N172</f>
        <v>1816.3232499999999</v>
      </c>
    </row>
    <row r="173" spans="9:18" x14ac:dyDescent="0.3">
      <c r="J173" s="221" t="s">
        <v>45</v>
      </c>
      <c r="K173" s="221">
        <v>0.03</v>
      </c>
      <c r="L173" s="101">
        <f>0.03*1000000*$L$168</f>
        <v>20562.150000000001</v>
      </c>
      <c r="M173" s="101"/>
      <c r="N173" s="221">
        <v>0.22500000000000001</v>
      </c>
      <c r="O173" s="216">
        <f t="shared" si="85"/>
        <v>4626.4837500000003</v>
      </c>
      <c r="P173" s="221" t="s">
        <v>1022</v>
      </c>
    </row>
    <row r="174" spans="9:18" x14ac:dyDescent="0.3">
      <c r="N174" s="221">
        <v>0.5</v>
      </c>
      <c r="O174" s="216">
        <f>L173*N174</f>
        <v>10281.075000000001</v>
      </c>
    </row>
    <row r="175" spans="9:18" x14ac:dyDescent="0.3">
      <c r="O175" s="221" t="s">
        <v>965</v>
      </c>
    </row>
    <row r="176" spans="9:18" x14ac:dyDescent="0.3">
      <c r="I176" s="221" t="s">
        <v>964</v>
      </c>
      <c r="K176" s="101">
        <f>0.0367*19.3*47</f>
        <v>33.290570000000002</v>
      </c>
      <c r="N176" s="221">
        <v>5.6000000000000001E-2</v>
      </c>
      <c r="O176" s="216">
        <f>$K$176*N176</f>
        <v>1.8642719200000002</v>
      </c>
    </row>
    <row r="177" spans="9:15" x14ac:dyDescent="0.3">
      <c r="N177" s="221">
        <v>0.106</v>
      </c>
      <c r="O177" s="216">
        <f t="shared" ref="O177:O179" si="86">$K$176*N177</f>
        <v>3.52880042</v>
      </c>
    </row>
    <row r="178" spans="9:15" x14ac:dyDescent="0.3">
      <c r="N178" s="221">
        <v>0.22500000000000001</v>
      </c>
      <c r="O178" s="216">
        <f t="shared" si="86"/>
        <v>7.4903782500000009</v>
      </c>
    </row>
    <row r="179" spans="9:15" x14ac:dyDescent="0.3">
      <c r="N179" s="221">
        <v>0.5</v>
      </c>
      <c r="O179" s="216">
        <f t="shared" si="86"/>
        <v>16.645285000000001</v>
      </c>
    </row>
    <row r="182" spans="9:15" x14ac:dyDescent="0.3">
      <c r="L182" s="86"/>
    </row>
    <row r="183" spans="9:15" x14ac:dyDescent="0.3">
      <c r="L183" s="86" t="s">
        <v>1031</v>
      </c>
    </row>
    <row r="184" spans="9:15" x14ac:dyDescent="0.3">
      <c r="L184" s="109" t="s">
        <v>1032</v>
      </c>
      <c r="M184" s="109">
        <v>0.875</v>
      </c>
    </row>
    <row r="185" spans="9:15" x14ac:dyDescent="0.3">
      <c r="L185" s="109" t="s">
        <v>43</v>
      </c>
      <c r="M185" s="109">
        <v>0.94</v>
      </c>
    </row>
    <row r="186" spans="9:15" x14ac:dyDescent="0.3">
      <c r="L186" s="109" t="s">
        <v>44</v>
      </c>
      <c r="M186" s="109">
        <v>0.9778</v>
      </c>
    </row>
    <row r="187" spans="9:15" x14ac:dyDescent="0.3">
      <c r="L187" s="109" t="s">
        <v>716</v>
      </c>
      <c r="M187" s="109">
        <v>0.99009999999999998</v>
      </c>
    </row>
    <row r="192" spans="9:15" x14ac:dyDescent="0.3">
      <c r="I192" s="86" t="s">
        <v>1024</v>
      </c>
      <c r="J192" s="239"/>
    </row>
    <row r="193" spans="9:12" x14ac:dyDescent="0.3">
      <c r="I193" s="239" t="s">
        <v>1025</v>
      </c>
      <c r="J193" s="239"/>
    </row>
    <row r="194" spans="9:12" x14ac:dyDescent="0.3">
      <c r="I194" s="239" t="s">
        <v>1026</v>
      </c>
      <c r="J194" s="239"/>
    </row>
    <row r="195" spans="9:12" x14ac:dyDescent="0.3">
      <c r="I195" s="239"/>
      <c r="J195" s="239"/>
    </row>
    <row r="196" spans="9:12" x14ac:dyDescent="0.3">
      <c r="I196" s="113" t="s">
        <v>1027</v>
      </c>
      <c r="J196" s="113" t="s">
        <v>1028</v>
      </c>
      <c r="K196" s="113" t="s">
        <v>1029</v>
      </c>
      <c r="L196" s="113" t="s">
        <v>1030</v>
      </c>
    </row>
    <row r="197" spans="9:12" x14ac:dyDescent="0.3">
      <c r="I197" s="109">
        <v>300</v>
      </c>
      <c r="J197" s="109">
        <v>60</v>
      </c>
      <c r="K197" s="109">
        <v>0.45</v>
      </c>
      <c r="L197" s="109">
        <v>0.45</v>
      </c>
    </row>
    <row r="198" spans="9:12" s="239" customFormat="1" x14ac:dyDescent="0.3">
      <c r="I198" s="109">
        <v>100</v>
      </c>
      <c r="J198" s="109">
        <v>21</v>
      </c>
      <c r="K198" s="109">
        <v>0.32</v>
      </c>
      <c r="L198" s="109">
        <v>0.32</v>
      </c>
    </row>
    <row r="199" spans="9:12" x14ac:dyDescent="0.3">
      <c r="I199" s="109">
        <v>60</v>
      </c>
      <c r="J199" s="109">
        <v>16</v>
      </c>
      <c r="K199" s="109">
        <v>0.28000000000000003</v>
      </c>
      <c r="L199" s="109">
        <v>0.28000000000000003</v>
      </c>
    </row>
    <row r="200" spans="9:12" x14ac:dyDescent="0.3">
      <c r="I200" s="109">
        <v>10</v>
      </c>
      <c r="J200" s="109">
        <v>3.5</v>
      </c>
      <c r="K200" s="109">
        <v>7.0000000000000007E-2</v>
      </c>
      <c r="L200" s="109">
        <v>7.0000000000000007E-2</v>
      </c>
    </row>
    <row r="201" spans="9:12" x14ac:dyDescent="0.3">
      <c r="I201" s="109">
        <v>1</v>
      </c>
      <c r="J201" s="109">
        <v>0.5</v>
      </c>
      <c r="K201" s="109">
        <v>0.01</v>
      </c>
      <c r="L201" s="109">
        <v>0.01</v>
      </c>
    </row>
  </sheetData>
  <mergeCells count="1">
    <mergeCell ref="O5:R5"/>
  </mergeCells>
  <pageMargins left="0.7" right="0.7" top="0.75" bottom="0.75" header="0.3" footer="0.3"/>
  <pageSetup orientation="portrait"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AD42B-4460-4317-AA8F-DCA687687E3D}">
  <dimension ref="A3:AL300"/>
  <sheetViews>
    <sheetView zoomScale="75" zoomScaleNormal="75" workbookViewId="0">
      <selection activeCell="A249" sqref="A249:J300"/>
    </sheetView>
  </sheetViews>
  <sheetFormatPr defaultRowHeight="14.4" x14ac:dyDescent="0.3"/>
  <cols>
    <col min="1" max="1" width="12.5546875" style="221" customWidth="1"/>
    <col min="2" max="2" width="17.77734375" style="221" customWidth="1"/>
    <col min="3" max="3" width="21.33203125" style="221" customWidth="1"/>
    <col min="4" max="4" width="19.88671875" style="221" customWidth="1"/>
    <col min="5" max="5" width="17.6640625" style="221" customWidth="1"/>
    <col min="6" max="6" width="14.88671875" style="221" customWidth="1"/>
    <col min="7" max="7" width="14" style="221" customWidth="1"/>
    <col min="8" max="8" width="14.88671875" style="221" customWidth="1"/>
    <col min="9" max="9" width="13.5546875" style="221" customWidth="1"/>
    <col min="10" max="10" width="15" style="221" customWidth="1"/>
    <col min="11" max="11" width="13.21875" style="221" customWidth="1"/>
    <col min="12" max="12" width="12" style="221" customWidth="1"/>
    <col min="13" max="13" width="15.44140625" style="221" customWidth="1"/>
    <col min="14" max="14" width="8.88671875" style="221"/>
    <col min="15" max="15" width="15.109375" style="221" customWidth="1"/>
    <col min="16" max="18" width="12.77734375" style="221" customWidth="1"/>
    <col min="19" max="19" width="6.88671875" style="221" customWidth="1"/>
    <col min="20" max="20" width="15" style="221" customWidth="1"/>
    <col min="21" max="23" width="12.77734375" style="221" customWidth="1"/>
    <col min="24" max="24" width="6.88671875" style="221" customWidth="1"/>
    <col min="25" max="25" width="15.44140625" style="221" customWidth="1"/>
    <col min="26" max="28" width="12.77734375" style="221" customWidth="1"/>
    <col min="29" max="29" width="6.88671875" style="221" customWidth="1"/>
    <col min="30" max="30" width="15.109375" style="221" customWidth="1"/>
    <col min="31" max="32" width="12.77734375" style="221" customWidth="1"/>
    <col min="33" max="33" width="14" style="221" customWidth="1"/>
    <col min="34" max="34" width="8.88671875" style="221"/>
    <col min="35" max="35" width="14" style="221" customWidth="1"/>
    <col min="36" max="36" width="11.77734375" style="221" customWidth="1"/>
    <col min="37" max="37" width="12.5546875" style="221" customWidth="1"/>
    <col min="38" max="38" width="11.77734375" style="221" customWidth="1"/>
    <col min="39" max="16384" width="8.88671875" style="221"/>
  </cols>
  <sheetData>
    <row r="3" spans="2:6" ht="86.4" x14ac:dyDescent="0.3">
      <c r="B3" s="222"/>
      <c r="C3" s="176" t="s">
        <v>863</v>
      </c>
      <c r="D3" s="176" t="s">
        <v>867</v>
      </c>
      <c r="E3" s="176" t="s">
        <v>864</v>
      </c>
      <c r="F3" s="176" t="s">
        <v>865</v>
      </c>
    </row>
    <row r="4" spans="2:6" x14ac:dyDescent="0.3">
      <c r="B4" s="221" t="s">
        <v>743</v>
      </c>
      <c r="C4" s="2" t="s">
        <v>751</v>
      </c>
      <c r="D4" s="2" t="s">
        <v>751</v>
      </c>
      <c r="E4" s="2" t="s">
        <v>746</v>
      </c>
      <c r="F4" s="2" t="s">
        <v>746</v>
      </c>
    </row>
    <row r="5" spans="2:6" x14ac:dyDescent="0.3">
      <c r="B5" s="221" t="s">
        <v>745</v>
      </c>
      <c r="C5" s="2" t="s">
        <v>752</v>
      </c>
      <c r="D5" s="2" t="s">
        <v>752</v>
      </c>
      <c r="E5" s="2" t="s">
        <v>753</v>
      </c>
      <c r="F5" s="2" t="s">
        <v>753</v>
      </c>
    </row>
    <row r="6" spans="2:6" x14ac:dyDescent="0.3">
      <c r="B6" s="221" t="s">
        <v>756</v>
      </c>
      <c r="C6" s="2" t="s">
        <v>758</v>
      </c>
      <c r="D6" s="2" t="s">
        <v>758</v>
      </c>
      <c r="E6" s="2" t="s">
        <v>759</v>
      </c>
      <c r="F6" s="2" t="s">
        <v>759</v>
      </c>
    </row>
    <row r="7" spans="2:6" x14ac:dyDescent="0.3">
      <c r="B7" s="221" t="s">
        <v>755</v>
      </c>
      <c r="C7" s="221">
        <v>165</v>
      </c>
      <c r="D7" s="221">
        <v>165</v>
      </c>
      <c r="E7" s="221">
        <v>660</v>
      </c>
      <c r="F7" s="221">
        <v>660</v>
      </c>
    </row>
    <row r="8" spans="2:6" x14ac:dyDescent="0.3">
      <c r="B8" s="221" t="s">
        <v>760</v>
      </c>
      <c r="C8" s="221">
        <v>1100</v>
      </c>
      <c r="D8" s="221">
        <v>99</v>
      </c>
      <c r="E8" s="221">
        <v>9</v>
      </c>
      <c r="F8" s="221">
        <v>1</v>
      </c>
    </row>
    <row r="9" spans="2:6" x14ac:dyDescent="0.3">
      <c r="B9" s="221" t="s">
        <v>761</v>
      </c>
      <c r="C9" s="221">
        <v>3</v>
      </c>
      <c r="D9" s="221">
        <v>1</v>
      </c>
      <c r="E9" s="221">
        <v>1</v>
      </c>
      <c r="F9" s="221">
        <v>2E-3</v>
      </c>
    </row>
    <row r="11" spans="2:6" x14ac:dyDescent="0.3">
      <c r="B11" s="221" t="s">
        <v>744</v>
      </c>
      <c r="C11" s="2" t="s">
        <v>866</v>
      </c>
      <c r="D11" s="2" t="s">
        <v>866</v>
      </c>
      <c r="E11" s="2" t="s">
        <v>747</v>
      </c>
      <c r="F11" s="2" t="s">
        <v>747</v>
      </c>
    </row>
    <row r="12" spans="2:6" x14ac:dyDescent="0.3">
      <c r="B12" s="221" t="s">
        <v>82</v>
      </c>
      <c r="C12" s="221">
        <v>4</v>
      </c>
      <c r="D12" s="221">
        <v>4</v>
      </c>
      <c r="E12" s="221">
        <v>5</v>
      </c>
      <c r="F12" s="221">
        <v>5</v>
      </c>
    </row>
    <row r="13" spans="2:6" x14ac:dyDescent="0.3">
      <c r="B13" s="221" t="s">
        <v>742</v>
      </c>
      <c r="C13" s="221">
        <v>1100</v>
      </c>
      <c r="D13" s="221">
        <v>99</v>
      </c>
      <c r="E13" s="221">
        <v>9</v>
      </c>
      <c r="F13" s="221">
        <v>0.9</v>
      </c>
    </row>
    <row r="14" spans="2:6" x14ac:dyDescent="0.3">
      <c r="B14" s="221" t="s">
        <v>92</v>
      </c>
      <c r="C14" s="221">
        <v>5449</v>
      </c>
      <c r="D14" s="221">
        <v>54.5</v>
      </c>
      <c r="E14" s="221">
        <v>5.4</v>
      </c>
      <c r="F14" s="221">
        <v>0.5</v>
      </c>
    </row>
    <row r="16" spans="2:6" ht="86.4" x14ac:dyDescent="0.3">
      <c r="C16" s="176" t="s">
        <v>863</v>
      </c>
      <c r="D16" s="176" t="s">
        <v>867</v>
      </c>
      <c r="E16" s="176" t="s">
        <v>864</v>
      </c>
      <c r="F16" s="176" t="s">
        <v>865</v>
      </c>
    </row>
    <row r="17" spans="2:15" x14ac:dyDescent="0.3">
      <c r="B17" s="174" t="s">
        <v>800</v>
      </c>
      <c r="C17" s="175">
        <v>1188331148.4249601</v>
      </c>
      <c r="D17" s="175">
        <v>47267387.295680001</v>
      </c>
      <c r="E17" s="175">
        <v>143642850.21551999</v>
      </c>
      <c r="F17" s="175">
        <v>54657799.464400001</v>
      </c>
    </row>
    <row r="18" spans="2:15" x14ac:dyDescent="0.3">
      <c r="F18" s="101"/>
    </row>
    <row r="19" spans="2:15" x14ac:dyDescent="0.3">
      <c r="B19" s="221" t="s">
        <v>768</v>
      </c>
      <c r="C19" s="101">
        <v>19395000</v>
      </c>
      <c r="D19" s="101">
        <v>6465000</v>
      </c>
      <c r="E19" s="101">
        <v>6465000</v>
      </c>
      <c r="F19" s="101">
        <v>12930</v>
      </c>
    </row>
    <row r="20" spans="2:15" x14ac:dyDescent="0.3">
      <c r="B20" s="221" t="s">
        <v>769</v>
      </c>
      <c r="C20" s="101">
        <v>636065</v>
      </c>
      <c r="D20" s="101">
        <v>186065</v>
      </c>
      <c r="E20" s="101">
        <v>6360650</v>
      </c>
      <c r="F20" s="101">
        <v>1860650</v>
      </c>
    </row>
    <row r="21" spans="2:15" x14ac:dyDescent="0.3">
      <c r="B21" s="8" t="s">
        <v>770</v>
      </c>
      <c r="C21" s="170">
        <v>78610000</v>
      </c>
      <c r="D21" s="170">
        <v>14760000</v>
      </c>
      <c r="E21" s="170">
        <v>57115000</v>
      </c>
      <c r="F21" s="170">
        <v>25105000</v>
      </c>
    </row>
    <row r="22" spans="2:15" x14ac:dyDescent="0.3">
      <c r="B22" s="146" t="s">
        <v>773</v>
      </c>
      <c r="C22" s="171">
        <v>98641065</v>
      </c>
      <c r="D22" s="171">
        <v>21411065</v>
      </c>
      <c r="E22" s="171">
        <v>69940650</v>
      </c>
      <c r="F22" s="171">
        <v>26978580</v>
      </c>
    </row>
    <row r="23" spans="2:15" x14ac:dyDescent="0.3">
      <c r="C23" s="101"/>
      <c r="D23" s="101"/>
      <c r="E23" s="101"/>
      <c r="F23" s="101"/>
    </row>
    <row r="25" spans="2:15" x14ac:dyDescent="0.3">
      <c r="B25" s="221" t="s">
        <v>771</v>
      </c>
      <c r="C25" s="101">
        <v>990144018.42496002</v>
      </c>
      <c r="D25" s="101">
        <v>9903257.2956800014</v>
      </c>
      <c r="E25" s="101">
        <v>1226550.2155200001</v>
      </c>
      <c r="F25" s="101">
        <v>113569.46440000001</v>
      </c>
    </row>
    <row r="26" spans="2:15" x14ac:dyDescent="0.3">
      <c r="B26" s="221" t="s">
        <v>772</v>
      </c>
      <c r="C26" s="101">
        <v>20936065</v>
      </c>
      <c r="D26" s="101">
        <v>1193065</v>
      </c>
      <c r="E26" s="101">
        <v>15360650</v>
      </c>
      <c r="F26" s="101">
        <v>2460650</v>
      </c>
      <c r="G26" s="156"/>
      <c r="H26" s="156"/>
      <c r="I26" s="156"/>
      <c r="J26" s="156"/>
      <c r="K26" s="156" t="s">
        <v>1045</v>
      </c>
    </row>
    <row r="27" spans="2:15" x14ac:dyDescent="0.3">
      <c r="B27" s="8" t="s">
        <v>815</v>
      </c>
      <c r="C27" s="170">
        <v>78610000</v>
      </c>
      <c r="D27" s="170">
        <v>14760000</v>
      </c>
      <c r="E27" s="170">
        <v>57115000</v>
      </c>
      <c r="F27" s="170">
        <v>25105000</v>
      </c>
      <c r="G27" s="156">
        <f>(C25+C19)/C17</f>
        <v>0.84954351298712061</v>
      </c>
      <c r="H27" s="156">
        <f>(D25+D19)/D17</f>
        <v>0.34629071400305589</v>
      </c>
      <c r="I27" s="156">
        <f t="shared" ref="I27:J27" si="0">(E25+E19)/E17</f>
        <v>5.354634918465967E-2</v>
      </c>
      <c r="J27" s="156">
        <f t="shared" si="0"/>
        <v>2.314389998126293E-3</v>
      </c>
      <c r="K27" s="156" t="s">
        <v>816</v>
      </c>
    </row>
    <row r="28" spans="2:15" x14ac:dyDescent="0.3">
      <c r="B28" s="146" t="s">
        <v>774</v>
      </c>
      <c r="C28" s="171">
        <v>1089690083.4249601</v>
      </c>
      <c r="D28" s="171">
        <v>25856322.295680001</v>
      </c>
      <c r="E28" s="171">
        <v>73702200.215519994</v>
      </c>
      <c r="F28" s="171">
        <v>27679219.464400001</v>
      </c>
      <c r="G28" s="156">
        <f>(C20+C26)/C17</f>
        <v>1.8153298454384681E-2</v>
      </c>
      <c r="H28" s="156">
        <f t="shared" ref="H28:J28" si="1">(D20+D26)/D17</f>
        <v>2.9177199733357074E-2</v>
      </c>
      <c r="I28" s="156">
        <f t="shared" si="1"/>
        <v>0.15121741156910787</v>
      </c>
      <c r="J28" s="156">
        <f t="shared" si="1"/>
        <v>7.9060994814007676E-2</v>
      </c>
      <c r="K28" s="156" t="s">
        <v>817</v>
      </c>
      <c r="L28" s="341" t="s">
        <v>1046</v>
      </c>
      <c r="M28" s="341"/>
      <c r="N28" s="341"/>
      <c r="O28" s="341"/>
    </row>
    <row r="29" spans="2:15" x14ac:dyDescent="0.3">
      <c r="B29" s="173"/>
      <c r="C29" s="173"/>
      <c r="D29" s="173"/>
      <c r="E29" s="173"/>
      <c r="F29" s="173"/>
      <c r="G29" s="156">
        <f>(C21+C27)/C17</f>
        <v>0.13230318855849466</v>
      </c>
      <c r="H29" s="156">
        <f t="shared" ref="H29:J29" si="2">(D21+D27)/D17</f>
        <v>0.62453208626358703</v>
      </c>
      <c r="I29" s="156">
        <f t="shared" si="2"/>
        <v>0.79523623924623255</v>
      </c>
      <c r="J29" s="156">
        <f t="shared" si="2"/>
        <v>0.91862461518786598</v>
      </c>
      <c r="K29" s="156" t="s">
        <v>818</v>
      </c>
      <c r="L29" s="341">
        <f>C28/C17</f>
        <v>0.91699193854276984</v>
      </c>
      <c r="M29" s="341">
        <f t="shared" ref="M29:O29" si="3">D28/D17</f>
        <v>0.54702245617969958</v>
      </c>
      <c r="N29" s="341">
        <f t="shared" si="3"/>
        <v>0.51309341261982833</v>
      </c>
      <c r="O29" s="341">
        <f t="shared" si="3"/>
        <v>0.5064093274085828</v>
      </c>
    </row>
    <row r="30" spans="2:15" x14ac:dyDescent="0.3">
      <c r="B30" s="86" t="s">
        <v>998</v>
      </c>
      <c r="G30" s="342" t="s">
        <v>1047</v>
      </c>
      <c r="H30" s="342"/>
      <c r="I30" s="342"/>
      <c r="J30" s="342"/>
    </row>
    <row r="31" spans="2:15" x14ac:dyDescent="0.3">
      <c r="B31" s="221" t="s">
        <v>1001</v>
      </c>
      <c r="C31" s="101">
        <v>617566951.86666656</v>
      </c>
      <c r="D31" s="101">
        <v>25578662.870971203</v>
      </c>
      <c r="E31" s="101">
        <v>44779071.032738</v>
      </c>
      <c r="F31" s="101">
        <v>17307685.091735002</v>
      </c>
      <c r="G31" s="342">
        <f>C31/C17</f>
        <v>0.51969264012409599</v>
      </c>
      <c r="H31" s="342">
        <f t="shared" ref="H31:J31" si="4">D31/D17</f>
        <v>0.54114822786722894</v>
      </c>
      <c r="I31" s="342">
        <f t="shared" si="4"/>
        <v>0.3117389481310906</v>
      </c>
      <c r="J31" s="342">
        <f t="shared" si="4"/>
        <v>0.31665535863747923</v>
      </c>
    </row>
    <row r="32" spans="2:15" x14ac:dyDescent="0.3">
      <c r="B32" s="221" t="s">
        <v>797</v>
      </c>
      <c r="C32" s="101">
        <v>583618335.32635522</v>
      </c>
      <c r="D32" s="101">
        <v>25093312.567361601</v>
      </c>
      <c r="E32" s="101">
        <v>42068645.125733607</v>
      </c>
      <c r="F32" s="101">
        <v>16436071.606642004</v>
      </c>
      <c r="G32" s="342">
        <f>C32/C17</f>
        <v>0.49112432683422935</v>
      </c>
      <c r="H32" s="342">
        <f t="shared" ref="H32:J32" si="5">D32/D17</f>
        <v>0.53088004230889663</v>
      </c>
      <c r="I32" s="342">
        <f t="shared" si="5"/>
        <v>0.29286974647616865</v>
      </c>
      <c r="J32" s="342">
        <f t="shared" si="5"/>
        <v>0.30070862288093453</v>
      </c>
    </row>
    <row r="33" spans="2:10" x14ac:dyDescent="0.3">
      <c r="B33" s="221" t="s">
        <v>798</v>
      </c>
      <c r="C33" s="101">
        <v>563875909.09214354</v>
      </c>
      <c r="D33" s="101">
        <v>24811062.69849325</v>
      </c>
      <c r="E33" s="101">
        <v>40492428.213660277</v>
      </c>
      <c r="F33" s="101">
        <v>15929194.841464842</v>
      </c>
      <c r="G33" s="342">
        <f>C33/C17</f>
        <v>0.47451075387489161</v>
      </c>
      <c r="H33" s="342">
        <f t="shared" ref="H33:J33" si="6">D33/D17</f>
        <v>0.52490869747651259</v>
      </c>
      <c r="I33" s="342">
        <f t="shared" si="6"/>
        <v>0.28189657997530632</v>
      </c>
      <c r="J33" s="342">
        <f t="shared" si="6"/>
        <v>0.29143498270251306</v>
      </c>
    </row>
    <row r="34" spans="2:10" x14ac:dyDescent="0.3">
      <c r="B34" s="221" t="s">
        <v>799</v>
      </c>
      <c r="C34" s="101">
        <v>557443429.68736696</v>
      </c>
      <c r="D34" s="101">
        <v>24719100.01635085</v>
      </c>
      <c r="E34" s="101">
        <v>39978865.0525731</v>
      </c>
      <c r="F34" s="101">
        <v>15764044.200197067</v>
      </c>
      <c r="G34" s="342">
        <f>C34/C17</f>
        <v>0.46909771777523007</v>
      </c>
      <c r="H34" s="342">
        <f t="shared" ref="H34:J34" si="7">D34/D17</f>
        <v>0.52296311327133693</v>
      </c>
      <c r="I34" s="342">
        <f t="shared" si="7"/>
        <v>0.27832130170481367</v>
      </c>
      <c r="J34" s="342">
        <f t="shared" si="7"/>
        <v>0.28841344427824223</v>
      </c>
    </row>
    <row r="35" spans="2:10" x14ac:dyDescent="0.3">
      <c r="B35" s="86" t="s">
        <v>999</v>
      </c>
      <c r="G35" s="343" t="s">
        <v>1048</v>
      </c>
      <c r="H35" s="343"/>
      <c r="I35" s="343"/>
      <c r="J35" s="343"/>
    </row>
    <row r="36" spans="2:10" x14ac:dyDescent="0.3">
      <c r="B36" s="221" t="s">
        <v>1003</v>
      </c>
      <c r="C36" s="101">
        <v>543256700.71510649</v>
      </c>
      <c r="D36" s="101">
        <v>22982584.2899912</v>
      </c>
      <c r="E36" s="101">
        <v>35813036.644268006</v>
      </c>
      <c r="F36" s="101">
        <v>14024962.000210002</v>
      </c>
      <c r="G36" s="343">
        <f>C36/(C22+0.5*C28)</f>
        <v>0.84423998443503667</v>
      </c>
      <c r="H36" s="343">
        <f t="shared" ref="H36:J36" si="8">D36/(D22+0.5*D28)</f>
        <v>0.66928078667366375</v>
      </c>
      <c r="I36" s="343">
        <f t="shared" si="8"/>
        <v>0.33535396328021838</v>
      </c>
      <c r="J36" s="343">
        <f t="shared" si="8"/>
        <v>0.34359588438941024</v>
      </c>
    </row>
    <row r="37" spans="2:10" x14ac:dyDescent="0.3">
      <c r="B37" s="221" t="s">
        <v>801</v>
      </c>
      <c r="C37" s="101">
        <v>547949414.77360642</v>
      </c>
      <c r="D37" s="101">
        <v>23847194.848491199</v>
      </c>
      <c r="E37" s="101">
        <v>37764948.619268</v>
      </c>
      <c r="F37" s="101">
        <v>14860364.522710003</v>
      </c>
      <c r="G37" s="343">
        <f>C37/(C22+0.5*C28)</f>
        <v>0.85153262682396813</v>
      </c>
      <c r="H37" s="343">
        <f t="shared" ref="H37:J37" si="9">D37/(D22+0.5*D28)</f>
        <v>0.6944592969516068</v>
      </c>
      <c r="I37" s="343">
        <f t="shared" si="9"/>
        <v>0.35363170451987769</v>
      </c>
      <c r="J37" s="343">
        <f t="shared" si="9"/>
        <v>0.36406231193019317</v>
      </c>
    </row>
    <row r="38" spans="2:10" x14ac:dyDescent="0.3">
      <c r="B38" s="221" t="s">
        <v>802</v>
      </c>
      <c r="C38" s="101">
        <v>550678408.48762643</v>
      </c>
      <c r="D38" s="101">
        <v>24349999.1425112</v>
      </c>
      <c r="E38" s="101">
        <v>38900060.50626801</v>
      </c>
      <c r="F38" s="101">
        <v>15346183.220410001</v>
      </c>
      <c r="G38" s="343">
        <f>C38/(C22+0.5*C28)</f>
        <v>0.85577357885937755</v>
      </c>
      <c r="H38" s="343">
        <f t="shared" ref="H38:J38" si="10">D38/(D22+0.5*D28)</f>
        <v>0.70910156908247213</v>
      </c>
      <c r="I38" s="343">
        <f t="shared" si="10"/>
        <v>0.36426091404078736</v>
      </c>
      <c r="J38" s="343">
        <f t="shared" si="10"/>
        <v>0.37596432671544838</v>
      </c>
    </row>
    <row r="39" spans="2:10" x14ac:dyDescent="0.3">
      <c r="B39" s="221" t="s">
        <v>803</v>
      </c>
      <c r="C39" s="101">
        <v>551567569.50831079</v>
      </c>
      <c r="D39" s="101">
        <v>24513822.8907956</v>
      </c>
      <c r="E39" s="101">
        <v>39269902.781408004</v>
      </c>
      <c r="F39" s="101">
        <v>15504472.719904002</v>
      </c>
      <c r="G39" s="343">
        <f>C39/(C22+0.5*C28)</f>
        <v>0.85715536630033262</v>
      </c>
      <c r="H39" s="343">
        <f t="shared" ref="H39:J39" si="11">D39/(D22+0.5*D28)</f>
        <v>0.71387231573759746</v>
      </c>
      <c r="I39" s="343">
        <f t="shared" si="11"/>
        <v>0.36772412421167416</v>
      </c>
      <c r="J39" s="343">
        <f t="shared" si="11"/>
        <v>0.37984224243225279</v>
      </c>
    </row>
    <row r="40" spans="2:10" x14ac:dyDescent="0.3">
      <c r="B40" s="86" t="s">
        <v>1011</v>
      </c>
      <c r="G40" s="344" t="s">
        <v>1049</v>
      </c>
      <c r="H40" s="344"/>
      <c r="I40" s="344"/>
      <c r="J40" s="344"/>
    </row>
    <row r="41" spans="2:10" x14ac:dyDescent="0.3">
      <c r="B41" s="221" t="s">
        <v>1004</v>
      </c>
      <c r="C41" s="101">
        <v>74310251.151560009</v>
      </c>
      <c r="D41" s="101">
        <v>2596078.5809800001</v>
      </c>
      <c r="E41" s="101">
        <v>8966034.3884699997</v>
      </c>
      <c r="F41" s="101">
        <v>3282723.0915250001</v>
      </c>
      <c r="G41" s="344">
        <f>C41/C22</f>
        <v>0.75333991123838751</v>
      </c>
      <c r="H41" s="344">
        <f t="shared" ref="H41:J41" si="12">D41/D22</f>
        <v>0.1212493904894502</v>
      </c>
      <c r="I41" s="344">
        <f t="shared" si="12"/>
        <v>0.12819489650825378</v>
      </c>
      <c r="J41" s="344">
        <f t="shared" si="12"/>
        <v>0.12167886862559112</v>
      </c>
    </row>
    <row r="42" spans="2:10" x14ac:dyDescent="0.3">
      <c r="B42" s="221" t="s">
        <v>807</v>
      </c>
      <c r="C42" s="101">
        <v>35668920.552748829</v>
      </c>
      <c r="D42" s="101">
        <v>1246117.7188704011</v>
      </c>
      <c r="E42" s="101">
        <v>4303696.5064656045</v>
      </c>
      <c r="F42" s="101">
        <v>1575707.0839320014</v>
      </c>
      <c r="G42" s="344">
        <f>C42/C22</f>
        <v>0.36160315739442622</v>
      </c>
      <c r="H42" s="344">
        <f t="shared" ref="H42:J42" si="13">D42/D22</f>
        <v>5.8199707434936146E-2</v>
      </c>
      <c r="I42" s="344">
        <f t="shared" si="13"/>
        <v>6.1533550323961878E-2</v>
      </c>
      <c r="J42" s="344">
        <f t="shared" si="13"/>
        <v>5.8405856940283787E-2</v>
      </c>
    </row>
    <row r="43" spans="2:10" x14ac:dyDescent="0.3">
      <c r="B43" s="221" t="s">
        <v>808</v>
      </c>
      <c r="C43" s="101">
        <v>13197500.604517056</v>
      </c>
      <c r="D43" s="101">
        <v>461063.55598204792</v>
      </c>
      <c r="E43" s="101">
        <v>1592367.7073922716</v>
      </c>
      <c r="F43" s="101">
        <v>583011.62105483992</v>
      </c>
      <c r="G43" s="344">
        <f>C43/C22</f>
        <v>0.13379316823593759</v>
      </c>
      <c r="H43" s="344">
        <f t="shared" ref="H43:J43" si="14">D43/D22</f>
        <v>2.1533891750926352E-2</v>
      </c>
      <c r="I43" s="344">
        <f t="shared" si="14"/>
        <v>2.2767413619865867E-2</v>
      </c>
      <c r="J43" s="344">
        <f t="shared" si="14"/>
        <v>2.161016706790498E-2</v>
      </c>
    </row>
    <row r="44" spans="2:10" x14ac:dyDescent="0.3">
      <c r="B44" s="221" t="s">
        <v>809</v>
      </c>
      <c r="C44" s="101">
        <v>5875860.1790561546</v>
      </c>
      <c r="D44" s="101">
        <v>205277.12555525065</v>
      </c>
      <c r="E44" s="101">
        <v>708962.27116510016</v>
      </c>
      <c r="F44" s="101">
        <v>259571.4802930649</v>
      </c>
      <c r="G44" s="344">
        <f>C44/C22</f>
        <v>5.956809346144179E-2</v>
      </c>
      <c r="H44" s="344">
        <f t="shared" ref="H44:J44" si="15">D44/D22</f>
        <v>9.5874318047818093E-3</v>
      </c>
      <c r="I44" s="344">
        <f t="shared" si="15"/>
        <v>1.0136626856700647E-2</v>
      </c>
      <c r="J44" s="344">
        <f t="shared" si="15"/>
        <v>9.6213914999627448E-3</v>
      </c>
    </row>
    <row r="45" spans="2:10" x14ac:dyDescent="0.3">
      <c r="B45" s="86"/>
    </row>
    <row r="46" spans="2:10" x14ac:dyDescent="0.3">
      <c r="C46" s="101"/>
      <c r="D46" s="101"/>
      <c r="E46" s="101"/>
      <c r="F46" s="101"/>
    </row>
    <row r="48" spans="2:10" x14ac:dyDescent="0.3">
      <c r="B48" s="86" t="s">
        <v>820</v>
      </c>
    </row>
    <row r="49" spans="2:11" ht="86.4" x14ac:dyDescent="0.3">
      <c r="C49" s="176" t="s">
        <v>863</v>
      </c>
      <c r="D49" s="176" t="s">
        <v>867</v>
      </c>
      <c r="E49" s="176" t="s">
        <v>864</v>
      </c>
      <c r="F49" s="176" t="s">
        <v>865</v>
      </c>
    </row>
    <row r="50" spans="2:11" x14ac:dyDescent="0.3">
      <c r="B50" s="221" t="s">
        <v>743</v>
      </c>
      <c r="C50" s="2" t="s">
        <v>751</v>
      </c>
      <c r="D50" s="2" t="s">
        <v>751</v>
      </c>
      <c r="E50" s="2" t="s">
        <v>746</v>
      </c>
      <c r="F50" s="2" t="s">
        <v>746</v>
      </c>
      <c r="G50" s="103" t="s">
        <v>821</v>
      </c>
    </row>
    <row r="51" spans="2:11" x14ac:dyDescent="0.3">
      <c r="B51" s="221" t="s">
        <v>745</v>
      </c>
      <c r="C51" s="2" t="s">
        <v>752</v>
      </c>
      <c r="D51" s="2" t="s">
        <v>752</v>
      </c>
      <c r="E51" s="2" t="s">
        <v>753</v>
      </c>
      <c r="F51" s="2" t="s">
        <v>753</v>
      </c>
    </row>
    <row r="52" spans="2:11" x14ac:dyDescent="0.3">
      <c r="B52" s="221" t="s">
        <v>756</v>
      </c>
      <c r="C52" s="2" t="s">
        <v>758</v>
      </c>
      <c r="D52" s="2" t="s">
        <v>758</v>
      </c>
      <c r="E52" s="2" t="s">
        <v>759</v>
      </c>
      <c r="F52" s="2" t="s">
        <v>759</v>
      </c>
    </row>
    <row r="53" spans="2:11" x14ac:dyDescent="0.3">
      <c r="B53" s="221" t="s">
        <v>755</v>
      </c>
      <c r="C53" s="221">
        <v>165</v>
      </c>
      <c r="D53" s="221">
        <v>165</v>
      </c>
      <c r="E53" s="221">
        <v>660</v>
      </c>
      <c r="F53" s="221">
        <v>660</v>
      </c>
    </row>
    <row r="54" spans="2:11" x14ac:dyDescent="0.3">
      <c r="B54" s="221" t="s">
        <v>760</v>
      </c>
      <c r="C54" s="221">
        <v>1100</v>
      </c>
      <c r="D54" s="221">
        <v>99</v>
      </c>
      <c r="E54" s="221">
        <v>9</v>
      </c>
      <c r="F54" s="221">
        <v>1</v>
      </c>
    </row>
    <row r="55" spans="2:11" x14ac:dyDescent="0.3">
      <c r="B55" s="221" t="s">
        <v>761</v>
      </c>
      <c r="C55" s="221">
        <v>3</v>
      </c>
      <c r="D55" s="221">
        <v>1</v>
      </c>
      <c r="E55" s="221">
        <v>1</v>
      </c>
      <c r="F55" s="221">
        <v>2E-3</v>
      </c>
      <c r="G55" s="221" t="s">
        <v>822</v>
      </c>
    </row>
    <row r="57" spans="2:11" x14ac:dyDescent="0.3">
      <c r="H57" s="156" t="s">
        <v>1050</v>
      </c>
      <c r="I57" s="156"/>
      <c r="J57" s="156"/>
      <c r="K57" s="156"/>
    </row>
    <row r="58" spans="2:11" x14ac:dyDescent="0.3">
      <c r="B58" s="221" t="s">
        <v>934</v>
      </c>
      <c r="C58" s="101">
        <v>51720000</v>
      </c>
      <c r="D58" s="101">
        <v>38790000</v>
      </c>
      <c r="E58" s="101">
        <v>38790000</v>
      </c>
      <c r="F58" s="101">
        <v>32337930</v>
      </c>
      <c r="H58" s="156">
        <f>C58/$C$61</f>
        <v>0.68994058318940632</v>
      </c>
      <c r="I58" s="156">
        <f>D58/$D$61</f>
        <v>0.90616260160698581</v>
      </c>
      <c r="J58" s="156">
        <f>E58/$E$61</f>
        <v>0.68699042564874768</v>
      </c>
      <c r="K58" s="156">
        <f>F58/$F$61</f>
        <v>0.82019760114128903</v>
      </c>
    </row>
    <row r="59" spans="2:11" x14ac:dyDescent="0.3">
      <c r="B59" s="221" t="s">
        <v>935</v>
      </c>
      <c r="C59" s="101">
        <v>2804376.9</v>
      </c>
      <c r="D59" s="101">
        <v>179286.9</v>
      </c>
      <c r="E59" s="101">
        <v>2823769</v>
      </c>
      <c r="F59" s="101">
        <v>561769</v>
      </c>
      <c r="H59" s="156">
        <f t="shared" ref="H59:H60" si="16">C59/$C$61</f>
        <v>3.7410159200868126E-2</v>
      </c>
      <c r="I59" s="156">
        <f t="shared" ref="I59:I60" si="17">D59/$D$61</f>
        <v>4.1882723314785129E-3</v>
      </c>
      <c r="J59" s="156">
        <f t="shared" ref="J59:J60" si="18">E59/$E$61</f>
        <v>5.0010370385247194E-2</v>
      </c>
      <c r="K59" s="156">
        <f t="shared" ref="K59:K60" si="19">F59/$F$61</f>
        <v>1.4248332722457522E-2</v>
      </c>
    </row>
    <row r="60" spans="2:11" x14ac:dyDescent="0.3">
      <c r="B60" s="8" t="s">
        <v>936</v>
      </c>
      <c r="C60" s="170">
        <v>20438600</v>
      </c>
      <c r="D60" s="170">
        <v>3837600</v>
      </c>
      <c r="E60" s="170">
        <v>14849900</v>
      </c>
      <c r="F60" s="170">
        <v>6527300</v>
      </c>
      <c r="H60" s="156">
        <f t="shared" si="16"/>
        <v>0.27264925760972547</v>
      </c>
      <c r="I60" s="156">
        <f t="shared" si="17"/>
        <v>8.9649126061535675E-2</v>
      </c>
      <c r="J60" s="156">
        <f t="shared" si="18"/>
        <v>0.26299920396600512</v>
      </c>
      <c r="K60" s="156">
        <f t="shared" si="19"/>
        <v>0.16555406613625348</v>
      </c>
    </row>
    <row r="61" spans="2:11" x14ac:dyDescent="0.3">
      <c r="B61" s="146" t="s">
        <v>819</v>
      </c>
      <c r="C61" s="171">
        <v>74962976.900000006</v>
      </c>
      <c r="D61" s="171">
        <v>42806886.899999999</v>
      </c>
      <c r="E61" s="171">
        <v>56463669</v>
      </c>
      <c r="F61" s="171">
        <v>39426999</v>
      </c>
    </row>
    <row r="67" spans="2:38" x14ac:dyDescent="0.3">
      <c r="J67" s="86" t="s">
        <v>838</v>
      </c>
    </row>
    <row r="68" spans="2:38" x14ac:dyDescent="0.3">
      <c r="I68" s="221" t="s">
        <v>1013</v>
      </c>
      <c r="J68" s="86" t="s">
        <v>1014</v>
      </c>
    </row>
    <row r="69" spans="2:38" x14ac:dyDescent="0.3">
      <c r="I69" s="186" t="s">
        <v>1012</v>
      </c>
      <c r="J69" s="175">
        <v>617566951.86666656</v>
      </c>
      <c r="K69" s="175">
        <v>25578662.870971203</v>
      </c>
      <c r="L69" s="175">
        <v>44779071.032738</v>
      </c>
      <c r="M69" s="175">
        <v>17307685.091735002</v>
      </c>
    </row>
    <row r="70" spans="2:38" x14ac:dyDescent="0.3">
      <c r="I70" s="186" t="s">
        <v>835</v>
      </c>
      <c r="J70" s="175">
        <v>583618335.32635522</v>
      </c>
      <c r="K70" s="175">
        <v>25093312.567361601</v>
      </c>
      <c r="L70" s="175">
        <v>42068645.125733607</v>
      </c>
      <c r="M70" s="175">
        <v>16436071.606642004</v>
      </c>
      <c r="T70" s="221">
        <v>4633</v>
      </c>
      <c r="Y70" s="221">
        <v>4633</v>
      </c>
    </row>
    <row r="71" spans="2:38" x14ac:dyDescent="0.3">
      <c r="E71" s="243" t="s">
        <v>834</v>
      </c>
      <c r="F71" s="243"/>
      <c r="G71" s="243"/>
      <c r="H71" s="243"/>
      <c r="I71" s="186" t="s">
        <v>836</v>
      </c>
      <c r="J71" s="175">
        <v>563875909.09214354</v>
      </c>
      <c r="K71" s="175">
        <v>24811062.69849325</v>
      </c>
      <c r="L71" s="175">
        <v>40492428.213660277</v>
      </c>
      <c r="M71" s="175">
        <v>15929194.841464842</v>
      </c>
      <c r="O71" s="86" t="s">
        <v>838</v>
      </c>
      <c r="T71" s="86" t="s">
        <v>937</v>
      </c>
      <c r="AD71" s="240" t="s">
        <v>1033</v>
      </c>
      <c r="AE71" s="240"/>
      <c r="AF71" s="240"/>
      <c r="AG71" s="240"/>
      <c r="AH71" s="240"/>
      <c r="AI71" s="240" t="s">
        <v>1034</v>
      </c>
    </row>
    <row r="72" spans="2:38" x14ac:dyDescent="0.3">
      <c r="E72" s="175">
        <v>1188331148.4249601</v>
      </c>
      <c r="F72" s="175">
        <v>47267387.295680001</v>
      </c>
      <c r="G72" s="175">
        <v>143642850.21551999</v>
      </c>
      <c r="H72" s="175">
        <v>54657799.464400001</v>
      </c>
      <c r="I72" s="186" t="s">
        <v>837</v>
      </c>
      <c r="J72" s="175">
        <v>557443429.68736696</v>
      </c>
      <c r="K72" s="175">
        <v>24719100.01635085</v>
      </c>
      <c r="L72" s="175">
        <v>39978865.0525731</v>
      </c>
      <c r="M72" s="175">
        <v>15764044.200197067</v>
      </c>
      <c r="O72" s="244" t="s">
        <v>1017</v>
      </c>
      <c r="P72" s="244"/>
      <c r="Q72" s="244"/>
      <c r="R72" s="244"/>
      <c r="T72" s="221" t="s">
        <v>969</v>
      </c>
      <c r="Y72" s="221" t="s">
        <v>968</v>
      </c>
      <c r="AD72" s="221" t="s">
        <v>972</v>
      </c>
      <c r="AI72" s="221" t="s">
        <v>972</v>
      </c>
    </row>
    <row r="73" spans="2:38" ht="28.8" x14ac:dyDescent="0.3">
      <c r="B73" s="176" t="s">
        <v>823</v>
      </c>
      <c r="C73" s="176" t="s">
        <v>824</v>
      </c>
      <c r="D73" s="176" t="s">
        <v>825</v>
      </c>
      <c r="E73" s="181" t="s">
        <v>828</v>
      </c>
      <c r="F73" s="181" t="s">
        <v>829</v>
      </c>
      <c r="G73" s="181" t="s">
        <v>830</v>
      </c>
      <c r="H73" s="181" t="s">
        <v>831</v>
      </c>
      <c r="I73" s="189" t="s">
        <v>839</v>
      </c>
      <c r="J73" s="188" t="s">
        <v>828</v>
      </c>
      <c r="K73" s="188" t="s">
        <v>829</v>
      </c>
      <c r="L73" s="188" t="s">
        <v>830</v>
      </c>
      <c r="M73" s="188" t="s">
        <v>831</v>
      </c>
      <c r="N73" s="8"/>
      <c r="O73" s="188" t="s">
        <v>828</v>
      </c>
      <c r="P73" s="188" t="s">
        <v>829</v>
      </c>
      <c r="Q73" s="188" t="s">
        <v>830</v>
      </c>
      <c r="R73" s="188" t="s">
        <v>831</v>
      </c>
      <c r="S73" s="8"/>
      <c r="T73" s="170">
        <f>9511+4633</f>
        <v>14144</v>
      </c>
      <c r="U73" s="170">
        <f>5431+4633</f>
        <v>10064</v>
      </c>
      <c r="V73" s="170">
        <f>7164+4633</f>
        <v>11797</v>
      </c>
      <c r="W73" s="170">
        <f>5002+4633</f>
        <v>9635</v>
      </c>
      <c r="X73" s="8"/>
      <c r="Y73" s="170">
        <f>20921+4633</f>
        <v>25554</v>
      </c>
      <c r="Z73" s="170">
        <f>11947+4633</f>
        <v>16580</v>
      </c>
      <c r="AA73" s="170">
        <f>15759+4633</f>
        <v>20392</v>
      </c>
      <c r="AB73" s="170">
        <f>11004+4633</f>
        <v>15637</v>
      </c>
      <c r="AC73" s="8"/>
      <c r="AD73" s="170">
        <f>Y73*15+0.07*(4000000/0.9778+E93+T73)</f>
        <v>672487.23821565975</v>
      </c>
      <c r="AE73" s="170">
        <f>Z73*15+0.07*(4000000/0.9778+F93+U73)</f>
        <v>535834.40002352069</v>
      </c>
      <c r="AF73" s="170">
        <f>AA73*15+0.45*(4000000/0.9778+G93+V73)</f>
        <v>2153477.9672341105</v>
      </c>
      <c r="AG73" s="170">
        <f>AB73*15+0.45*(4000000/0.9778+H93+W73)</f>
        <v>2080299.1152316744</v>
      </c>
      <c r="AI73" s="170">
        <f>Y73*15+0.07*(1000000/0.9778+E93+T73)</f>
        <v>457719.39203034574</v>
      </c>
      <c r="AJ73" s="170">
        <f>Z73*15+0.07*(1000000/0.9778+F93+U73)</f>
        <v>321066.55383820669</v>
      </c>
      <c r="AK73" s="170">
        <f>AA73*15+0.45*(1000000/0.9778+G93+V73)</f>
        <v>772827.52747137798</v>
      </c>
      <c r="AL73" s="170">
        <f>AB73*15+0.45*(1000000/0.9778+H93+W73)</f>
        <v>699648.6754689418</v>
      </c>
    </row>
    <row r="74" spans="2:38" x14ac:dyDescent="0.3">
      <c r="B74" s="225"/>
      <c r="C74" s="225"/>
      <c r="D74" s="225"/>
      <c r="E74" s="181"/>
      <c r="F74" s="181"/>
      <c r="G74" s="181"/>
      <c r="H74" s="181"/>
      <c r="I74" s="145" t="s">
        <v>1004</v>
      </c>
      <c r="J74" s="235">
        <f>J69*$D$75</f>
        <v>617566951.86666656</v>
      </c>
      <c r="K74" s="235">
        <f t="shared" ref="K74:M74" si="20">K69*$D$75</f>
        <v>25578662.870971203</v>
      </c>
      <c r="L74" s="235">
        <f t="shared" si="20"/>
        <v>44779071.032738</v>
      </c>
      <c r="M74" s="235">
        <f t="shared" si="20"/>
        <v>17307685.091735002</v>
      </c>
      <c r="N74" s="207"/>
      <c r="O74" s="182">
        <f>E$76-J74</f>
        <v>570764196.55829358</v>
      </c>
      <c r="P74" s="182">
        <f t="shared" ref="P74:R77" si="21">F$76-K74</f>
        <v>21688724.424708799</v>
      </c>
      <c r="Q74" s="182">
        <f t="shared" si="21"/>
        <v>98863779.182781994</v>
      </c>
      <c r="R74" s="182">
        <f t="shared" si="21"/>
        <v>37350114.372665003</v>
      </c>
      <c r="S74" s="207"/>
      <c r="T74" s="182">
        <f>O74-T$73</f>
        <v>570750052.55829358</v>
      </c>
      <c r="U74" s="182">
        <f t="shared" ref="U74:W89" si="22">P74-U$73</f>
        <v>21678660.424708799</v>
      </c>
      <c r="V74" s="182">
        <f t="shared" si="22"/>
        <v>98851982.182781994</v>
      </c>
      <c r="W74" s="182">
        <f t="shared" si="22"/>
        <v>37340479.372665003</v>
      </c>
      <c r="X74" s="207"/>
      <c r="Y74" s="182">
        <f>O74-Y$73</f>
        <v>570738642.55829358</v>
      </c>
      <c r="Z74" s="182">
        <f t="shared" ref="Z74:AB89" si="23">P74-Z$73</f>
        <v>21672144.424708799</v>
      </c>
      <c r="AA74" s="182">
        <f t="shared" si="23"/>
        <v>98843387.182781994</v>
      </c>
      <c r="AB74" s="182">
        <f t="shared" si="23"/>
        <v>37334477.372665003</v>
      </c>
      <c r="AC74" s="207"/>
      <c r="AD74" s="182">
        <f>O74-AD$73</f>
        <v>570091709.3200779</v>
      </c>
      <c r="AE74" s="182">
        <f t="shared" ref="AE74:AG89" si="24">P74-AE$73</f>
        <v>21152890.024685279</v>
      </c>
      <c r="AF74" s="182">
        <f t="shared" si="24"/>
        <v>96710301.215547889</v>
      </c>
      <c r="AG74" s="182">
        <f t="shared" si="24"/>
        <v>35269815.257433325</v>
      </c>
      <c r="AI74" s="182">
        <f>O74-AI$73</f>
        <v>570306477.16626322</v>
      </c>
      <c r="AJ74" s="182">
        <f t="shared" ref="AJ74:AL89" si="25">P74-AJ$73</f>
        <v>21367657.87087059</v>
      </c>
      <c r="AK74" s="182">
        <f t="shared" si="25"/>
        <v>98090951.655310616</v>
      </c>
      <c r="AL74" s="182">
        <f t="shared" si="25"/>
        <v>36650465.697196059</v>
      </c>
    </row>
    <row r="75" spans="2:38" x14ac:dyDescent="0.3">
      <c r="B75" s="222" t="s">
        <v>826</v>
      </c>
      <c r="C75" s="179">
        <v>1</v>
      </c>
      <c r="D75" s="179">
        <v>1</v>
      </c>
      <c r="I75" s="221" t="s">
        <v>835</v>
      </c>
      <c r="J75" s="235">
        <f t="shared" ref="J75:M77" si="26">J70*$D$75</f>
        <v>583618335.32635522</v>
      </c>
      <c r="K75" s="235">
        <f t="shared" si="26"/>
        <v>25093312.567361601</v>
      </c>
      <c r="L75" s="235">
        <f t="shared" si="26"/>
        <v>42068645.125733607</v>
      </c>
      <c r="M75" s="235">
        <f t="shared" si="26"/>
        <v>16436071.606642004</v>
      </c>
      <c r="O75" s="182">
        <f>E$76-J75</f>
        <v>604712813.09860492</v>
      </c>
      <c r="P75" s="182">
        <f t="shared" si="21"/>
        <v>22174074.728318401</v>
      </c>
      <c r="Q75" s="182">
        <f t="shared" si="21"/>
        <v>101574205.08978638</v>
      </c>
      <c r="R75" s="182">
        <f t="shared" si="21"/>
        <v>38221727.857758</v>
      </c>
      <c r="T75" s="182">
        <f>O75-T$73</f>
        <v>604698669.09860492</v>
      </c>
      <c r="U75" s="182">
        <f t="shared" si="22"/>
        <v>22164010.728318401</v>
      </c>
      <c r="V75" s="182">
        <f t="shared" si="22"/>
        <v>101562408.08978638</v>
      </c>
      <c r="W75" s="182">
        <f t="shared" si="22"/>
        <v>38212092.857758</v>
      </c>
      <c r="Y75" s="182">
        <f>O75-Y$73</f>
        <v>604687259.09860492</v>
      </c>
      <c r="Z75" s="182">
        <f t="shared" si="23"/>
        <v>22157494.728318401</v>
      </c>
      <c r="AA75" s="182">
        <f t="shared" si="23"/>
        <v>101553813.08978638</v>
      </c>
      <c r="AB75" s="182">
        <f t="shared" si="23"/>
        <v>38206090.857758</v>
      </c>
      <c r="AD75" s="182">
        <f>O75-AD$73</f>
        <v>604040325.86038923</v>
      </c>
      <c r="AE75" s="182">
        <f t="shared" si="24"/>
        <v>21638240.328294881</v>
      </c>
      <c r="AF75" s="182">
        <f t="shared" si="24"/>
        <v>99420727.122552276</v>
      </c>
      <c r="AG75" s="182">
        <f t="shared" si="24"/>
        <v>36141428.742526323</v>
      </c>
      <c r="AI75" s="182">
        <f t="shared" ref="AI75:AL97" si="27">O75-AI$73</f>
        <v>604255093.70657456</v>
      </c>
      <c r="AJ75" s="182">
        <f t="shared" si="25"/>
        <v>21853008.174480192</v>
      </c>
      <c r="AK75" s="182">
        <f t="shared" si="25"/>
        <v>100801377.562315</v>
      </c>
      <c r="AL75" s="182">
        <f t="shared" si="25"/>
        <v>37522079.182289056</v>
      </c>
    </row>
    <row r="76" spans="2:38" x14ac:dyDescent="0.3">
      <c r="B76" s="222"/>
      <c r="C76" s="179"/>
      <c r="D76" s="179" t="s">
        <v>832</v>
      </c>
      <c r="E76" s="182">
        <f>E72*$D75</f>
        <v>1188331148.4249601</v>
      </c>
      <c r="F76" s="182">
        <f t="shared" ref="F76:H76" si="28">F72*$D75</f>
        <v>47267387.295680001</v>
      </c>
      <c r="G76" s="182">
        <f t="shared" si="28"/>
        <v>143642850.21551999</v>
      </c>
      <c r="H76" s="195">
        <f t="shared" si="28"/>
        <v>54657799.464400001</v>
      </c>
      <c r="I76" s="221" t="s">
        <v>836</v>
      </c>
      <c r="J76" s="235">
        <f t="shared" si="26"/>
        <v>563875909.09214354</v>
      </c>
      <c r="K76" s="235">
        <f t="shared" si="26"/>
        <v>24811062.69849325</v>
      </c>
      <c r="L76" s="235">
        <f t="shared" si="26"/>
        <v>40492428.213660277</v>
      </c>
      <c r="M76" s="235">
        <f t="shared" si="26"/>
        <v>15929194.841464842</v>
      </c>
      <c r="O76" s="182">
        <f t="shared" ref="O76:O77" si="29">E$76-J76</f>
        <v>624455239.3328166</v>
      </c>
      <c r="P76" s="182">
        <f t="shared" si="21"/>
        <v>22456324.597186752</v>
      </c>
      <c r="Q76" s="182">
        <f t="shared" si="21"/>
        <v>103150422.00185972</v>
      </c>
      <c r="R76" s="182">
        <f t="shared" si="21"/>
        <v>38728604.622935161</v>
      </c>
      <c r="T76" s="182">
        <f t="shared" ref="T76:W97" si="30">O76-T$73</f>
        <v>624441095.3328166</v>
      </c>
      <c r="U76" s="182">
        <f t="shared" si="22"/>
        <v>22446260.597186752</v>
      </c>
      <c r="V76" s="182">
        <f t="shared" si="22"/>
        <v>103138625.00185972</v>
      </c>
      <c r="W76" s="182">
        <f t="shared" si="22"/>
        <v>38718969.622935161</v>
      </c>
      <c r="Y76" s="182">
        <f t="shared" ref="Y76:AB97" si="31">O76-Y$73</f>
        <v>624429685.3328166</v>
      </c>
      <c r="Z76" s="182">
        <f t="shared" si="23"/>
        <v>22439744.597186752</v>
      </c>
      <c r="AA76" s="182">
        <f t="shared" si="23"/>
        <v>103130030.00185972</v>
      </c>
      <c r="AB76" s="182">
        <f t="shared" si="23"/>
        <v>38712967.622935161</v>
      </c>
      <c r="AD76" s="182">
        <f t="shared" ref="AD76:AG97" si="32">O76-AD$73</f>
        <v>623782752.09460092</v>
      </c>
      <c r="AE76" s="182">
        <f t="shared" si="24"/>
        <v>21920490.197163232</v>
      </c>
      <c r="AF76" s="182">
        <f t="shared" si="24"/>
        <v>100996944.03462562</v>
      </c>
      <c r="AG76" s="182">
        <f t="shared" si="24"/>
        <v>36648305.507703483</v>
      </c>
      <c r="AI76" s="182">
        <f t="shared" si="27"/>
        <v>623997519.94078624</v>
      </c>
      <c r="AJ76" s="182">
        <f t="shared" si="25"/>
        <v>22135258.043348543</v>
      </c>
      <c r="AK76" s="182">
        <f t="shared" si="25"/>
        <v>102377594.47438835</v>
      </c>
      <c r="AL76" s="182">
        <f t="shared" si="25"/>
        <v>38028955.947466217</v>
      </c>
    </row>
    <row r="77" spans="2:38" x14ac:dyDescent="0.3">
      <c r="B77" s="222"/>
      <c r="C77" s="179"/>
      <c r="D77" s="179" t="s">
        <v>833</v>
      </c>
      <c r="E77" s="182">
        <f>E72*$C$75</f>
        <v>1188331148.4249601</v>
      </c>
      <c r="F77" s="182">
        <f t="shared" ref="F77:H77" si="33">F72*$C$75</f>
        <v>47267387.295680001</v>
      </c>
      <c r="G77" s="182">
        <f t="shared" si="33"/>
        <v>143642850.21551999</v>
      </c>
      <c r="H77" s="195">
        <f t="shared" si="33"/>
        <v>54657799.464400001</v>
      </c>
      <c r="I77" s="8" t="s">
        <v>837</v>
      </c>
      <c r="J77" s="236">
        <f t="shared" si="26"/>
        <v>557443429.68736696</v>
      </c>
      <c r="K77" s="236">
        <f t="shared" si="26"/>
        <v>24719100.01635085</v>
      </c>
      <c r="L77" s="236">
        <f t="shared" si="26"/>
        <v>39978865.0525731</v>
      </c>
      <c r="M77" s="236">
        <f t="shared" si="26"/>
        <v>15764044.200197067</v>
      </c>
      <c r="N77" s="8"/>
      <c r="O77" s="194">
        <f t="shared" si="29"/>
        <v>630887718.73759317</v>
      </c>
      <c r="P77" s="194">
        <f t="shared" si="21"/>
        <v>22548287.279329151</v>
      </c>
      <c r="Q77" s="194">
        <f t="shared" si="21"/>
        <v>103663985.16294689</v>
      </c>
      <c r="R77" s="194">
        <f t="shared" si="21"/>
        <v>38893755.264202937</v>
      </c>
      <c r="S77" s="8"/>
      <c r="T77" s="194">
        <f t="shared" si="30"/>
        <v>630873574.73759317</v>
      </c>
      <c r="U77" s="194">
        <f t="shared" si="22"/>
        <v>22538223.279329151</v>
      </c>
      <c r="V77" s="194">
        <f t="shared" si="22"/>
        <v>103652188.16294689</v>
      </c>
      <c r="W77" s="194">
        <f t="shared" si="22"/>
        <v>38884120.264202937</v>
      </c>
      <c r="X77" s="8"/>
      <c r="Y77" s="194">
        <f t="shared" si="31"/>
        <v>630862164.73759317</v>
      </c>
      <c r="Z77" s="194">
        <f t="shared" si="23"/>
        <v>22531707.279329151</v>
      </c>
      <c r="AA77" s="194">
        <f t="shared" si="23"/>
        <v>103643593.16294689</v>
      </c>
      <c r="AB77" s="194">
        <f t="shared" si="23"/>
        <v>38878118.264202937</v>
      </c>
      <c r="AC77" s="8"/>
      <c r="AD77" s="194">
        <f t="shared" si="32"/>
        <v>630215231.49937749</v>
      </c>
      <c r="AE77" s="194">
        <f t="shared" si="24"/>
        <v>22012452.879305631</v>
      </c>
      <c r="AF77" s="194">
        <f t="shared" si="24"/>
        <v>101510507.19571279</v>
      </c>
      <c r="AG77" s="194">
        <f t="shared" si="24"/>
        <v>36813456.14897126</v>
      </c>
      <c r="AI77" s="194">
        <f t="shared" si="27"/>
        <v>630429999.34556282</v>
      </c>
      <c r="AJ77" s="194">
        <f t="shared" si="25"/>
        <v>22227220.725490943</v>
      </c>
      <c r="AK77" s="194">
        <f t="shared" si="25"/>
        <v>102891157.63547552</v>
      </c>
      <c r="AL77" s="194">
        <f t="shared" si="25"/>
        <v>38194106.588733993</v>
      </c>
    </row>
    <row r="78" spans="2:38" x14ac:dyDescent="0.3">
      <c r="B78" s="222"/>
      <c r="C78" s="179"/>
      <c r="D78" s="179"/>
      <c r="E78" s="182"/>
      <c r="F78" s="182"/>
      <c r="G78" s="182"/>
      <c r="H78" s="195"/>
      <c r="I78" s="145" t="s">
        <v>1004</v>
      </c>
      <c r="J78" s="208">
        <f>J69*$D$79</f>
        <v>284829289.00432903</v>
      </c>
      <c r="K78" s="208">
        <f t="shared" ref="K78:M81" si="34">K69*$D$79</f>
        <v>11797186.26004637</v>
      </c>
      <c r="L78" s="208">
        <f t="shared" si="34"/>
        <v>20652644.909151159</v>
      </c>
      <c r="M78" s="208">
        <f t="shared" si="34"/>
        <v>7982512.0565292835</v>
      </c>
      <c r="N78" s="207"/>
      <c r="O78" s="182">
        <f>E$80-J78</f>
        <v>263243296.62304372</v>
      </c>
      <c r="P78" s="182">
        <f t="shared" ref="P78:R81" si="35">F$80-K78</f>
        <v>10003099.969368797</v>
      </c>
      <c r="Q78" s="182">
        <f t="shared" si="35"/>
        <v>45597161.324449249</v>
      </c>
      <c r="R78" s="182">
        <f t="shared" si="35"/>
        <v>17226320.950045571</v>
      </c>
      <c r="S78" s="207"/>
      <c r="T78" s="182">
        <f t="shared" si="30"/>
        <v>263229152.62304372</v>
      </c>
      <c r="U78" s="182">
        <f t="shared" si="22"/>
        <v>9993035.9693687968</v>
      </c>
      <c r="V78" s="182">
        <f t="shared" si="22"/>
        <v>45585364.324449249</v>
      </c>
      <c r="W78" s="182">
        <f t="shared" si="22"/>
        <v>17216685.950045571</v>
      </c>
      <c r="X78" s="207"/>
      <c r="Y78" s="182">
        <f t="shared" si="31"/>
        <v>263217742.62304372</v>
      </c>
      <c r="Z78" s="182">
        <f t="shared" si="23"/>
        <v>9986519.9693687968</v>
      </c>
      <c r="AA78" s="182">
        <f t="shared" si="23"/>
        <v>45576769.324449249</v>
      </c>
      <c r="AB78" s="182">
        <f t="shared" si="23"/>
        <v>17210683.950045571</v>
      </c>
      <c r="AC78" s="207"/>
      <c r="AD78" s="182">
        <f t="shared" si="32"/>
        <v>262570809.38482806</v>
      </c>
      <c r="AE78" s="182">
        <f t="shared" si="24"/>
        <v>9467265.5693452768</v>
      </c>
      <c r="AF78" s="182">
        <f t="shared" si="24"/>
        <v>43443683.357215136</v>
      </c>
      <c r="AG78" s="182">
        <f t="shared" si="24"/>
        <v>15146021.834813897</v>
      </c>
      <c r="AI78" s="182">
        <f t="shared" si="27"/>
        <v>262785577.23101336</v>
      </c>
      <c r="AJ78" s="182">
        <f t="shared" si="25"/>
        <v>9682033.4155305903</v>
      </c>
      <c r="AK78" s="182">
        <f t="shared" si="25"/>
        <v>44824333.79697787</v>
      </c>
      <c r="AL78" s="182">
        <f t="shared" si="25"/>
        <v>16526672.274576629</v>
      </c>
    </row>
    <row r="79" spans="2:38" x14ac:dyDescent="0.3">
      <c r="B79" s="222" t="s">
        <v>916</v>
      </c>
      <c r="C79" s="180">
        <v>9.7420000000000007E-3</v>
      </c>
      <c r="D79" s="180">
        <v>0.46121200000000001</v>
      </c>
      <c r="I79" s="221" t="s">
        <v>835</v>
      </c>
      <c r="J79" s="101">
        <f>J70*$D$79</f>
        <v>269171779.67253894</v>
      </c>
      <c r="K79" s="101">
        <f t="shared" si="34"/>
        <v>11573336.875817979</v>
      </c>
      <c r="L79" s="101">
        <f t="shared" si="34"/>
        <v>19402563.95572985</v>
      </c>
      <c r="M79" s="101">
        <f t="shared" si="34"/>
        <v>7580513.4578425726</v>
      </c>
      <c r="O79" s="182">
        <f>E$80-J79</f>
        <v>278900805.95483381</v>
      </c>
      <c r="P79" s="182">
        <f t="shared" si="35"/>
        <v>10226949.353597188</v>
      </c>
      <c r="Q79" s="182">
        <f t="shared" si="35"/>
        <v>46847242.277870558</v>
      </c>
      <c r="R79" s="182">
        <f t="shared" si="35"/>
        <v>17628319.548732281</v>
      </c>
      <c r="T79" s="182">
        <f t="shared" si="30"/>
        <v>278886661.95483381</v>
      </c>
      <c r="U79" s="182">
        <f t="shared" si="22"/>
        <v>10216885.353597188</v>
      </c>
      <c r="V79" s="182">
        <f t="shared" si="22"/>
        <v>46835445.277870558</v>
      </c>
      <c r="W79" s="182">
        <f t="shared" si="22"/>
        <v>17618684.548732281</v>
      </c>
      <c r="Y79" s="182">
        <f t="shared" si="31"/>
        <v>278875251.95483381</v>
      </c>
      <c r="Z79" s="182">
        <f t="shared" si="23"/>
        <v>10210369.353597188</v>
      </c>
      <c r="AA79" s="182">
        <f t="shared" si="23"/>
        <v>46826850.277870558</v>
      </c>
      <c r="AB79" s="182">
        <f t="shared" si="23"/>
        <v>17612682.548732281</v>
      </c>
      <c r="AD79" s="182">
        <f t="shared" si="32"/>
        <v>278228318.71661812</v>
      </c>
      <c r="AE79" s="182">
        <f t="shared" si="24"/>
        <v>9691114.9535736684</v>
      </c>
      <c r="AF79" s="182">
        <f t="shared" si="24"/>
        <v>44693764.310636446</v>
      </c>
      <c r="AG79" s="182">
        <f t="shared" si="24"/>
        <v>15548020.433500607</v>
      </c>
      <c r="AI79" s="182">
        <f t="shared" si="27"/>
        <v>278443086.56280345</v>
      </c>
      <c r="AJ79" s="182">
        <f t="shared" si="25"/>
        <v>9905882.7997589819</v>
      </c>
      <c r="AK79" s="182">
        <f t="shared" si="25"/>
        <v>46074414.75039918</v>
      </c>
      <c r="AL79" s="182">
        <f t="shared" si="25"/>
        <v>16928670.87326334</v>
      </c>
    </row>
    <row r="80" spans="2:38" x14ac:dyDescent="0.3">
      <c r="B80" s="222"/>
      <c r="C80" s="180"/>
      <c r="D80" s="179" t="s">
        <v>832</v>
      </c>
      <c r="E80" s="182">
        <f>E72*$D$79</f>
        <v>548072585.62737274</v>
      </c>
      <c r="F80" s="182">
        <f t="shared" ref="F80:H80" si="36">F72*$D$79</f>
        <v>21800286.229415167</v>
      </c>
      <c r="G80" s="182">
        <f t="shared" si="36"/>
        <v>66249806.233600408</v>
      </c>
      <c r="H80" s="195">
        <f t="shared" si="36"/>
        <v>25208833.006574854</v>
      </c>
      <c r="I80" s="221" t="s">
        <v>836</v>
      </c>
      <c r="J80" s="101">
        <f>J71*$D$79</f>
        <v>260066335.7842057</v>
      </c>
      <c r="K80" s="101">
        <f t="shared" si="34"/>
        <v>11443159.849297469</v>
      </c>
      <c r="L80" s="101">
        <f t="shared" si="34"/>
        <v>18675593.801278684</v>
      </c>
      <c r="M80" s="101">
        <f t="shared" si="34"/>
        <v>7346735.8112216825</v>
      </c>
      <c r="O80" s="182">
        <f t="shared" ref="O80:O81" si="37">E$80-J80</f>
        <v>288006249.84316707</v>
      </c>
      <c r="P80" s="182">
        <f t="shared" si="35"/>
        <v>10357126.380117698</v>
      </c>
      <c r="Q80" s="182">
        <f t="shared" si="35"/>
        <v>47574212.432321727</v>
      </c>
      <c r="R80" s="182">
        <f t="shared" si="35"/>
        <v>17862097.195353173</v>
      </c>
      <c r="T80" s="182">
        <f t="shared" si="30"/>
        <v>287992105.84316707</v>
      </c>
      <c r="U80" s="182">
        <f t="shared" si="22"/>
        <v>10347062.380117698</v>
      </c>
      <c r="V80" s="182">
        <f t="shared" si="22"/>
        <v>47562415.432321727</v>
      </c>
      <c r="W80" s="182">
        <f t="shared" si="22"/>
        <v>17852462.195353173</v>
      </c>
      <c r="Y80" s="182">
        <f t="shared" si="31"/>
        <v>287980695.84316707</v>
      </c>
      <c r="Z80" s="182">
        <f t="shared" si="23"/>
        <v>10340546.380117698</v>
      </c>
      <c r="AA80" s="182">
        <f t="shared" si="23"/>
        <v>47553820.432321727</v>
      </c>
      <c r="AB80" s="182">
        <f t="shared" si="23"/>
        <v>17846460.195353173</v>
      </c>
      <c r="AD80" s="182">
        <f t="shared" si="32"/>
        <v>287333762.60495138</v>
      </c>
      <c r="AE80" s="182">
        <f t="shared" si="24"/>
        <v>9821291.9800941776</v>
      </c>
      <c r="AF80" s="182">
        <f t="shared" si="24"/>
        <v>45420734.465087615</v>
      </c>
      <c r="AG80" s="182">
        <f t="shared" si="24"/>
        <v>15781798.080121499</v>
      </c>
      <c r="AI80" s="182">
        <f t="shared" si="27"/>
        <v>287548530.45113671</v>
      </c>
      <c r="AJ80" s="182">
        <f t="shared" si="25"/>
        <v>10036059.826279491</v>
      </c>
      <c r="AK80" s="182">
        <f t="shared" si="25"/>
        <v>46801384.904850349</v>
      </c>
      <c r="AL80" s="182">
        <f t="shared" si="25"/>
        <v>17162448.519884232</v>
      </c>
    </row>
    <row r="81" spans="2:38" x14ac:dyDescent="0.3">
      <c r="B81" s="222"/>
      <c r="C81" s="180"/>
      <c r="D81" s="179" t="s">
        <v>833</v>
      </c>
      <c r="E81" s="182">
        <f>E72*$C$79</f>
        <v>11576722.047955962</v>
      </c>
      <c r="F81" s="195">
        <f t="shared" ref="F81:H81" si="38">F72*$C$79</f>
        <v>460478.88703451463</v>
      </c>
      <c r="G81" s="183">
        <f t="shared" si="38"/>
        <v>1399368.6467995958</v>
      </c>
      <c r="H81" s="184">
        <f t="shared" si="38"/>
        <v>532476.28238218487</v>
      </c>
      <c r="I81" s="8" t="s">
        <v>837</v>
      </c>
      <c r="J81" s="170">
        <f>J72*$D$79</f>
        <v>257099599.09296989</v>
      </c>
      <c r="K81" s="170">
        <f t="shared" si="34"/>
        <v>11400745.556741208</v>
      </c>
      <c r="L81" s="170">
        <f t="shared" si="34"/>
        <v>18438732.308627345</v>
      </c>
      <c r="M81" s="170">
        <f t="shared" si="34"/>
        <v>7270566.3536612894</v>
      </c>
      <c r="N81" s="8"/>
      <c r="O81" s="194">
        <f t="shared" si="37"/>
        <v>290972986.53440285</v>
      </c>
      <c r="P81" s="194">
        <f t="shared" si="35"/>
        <v>10399540.672673959</v>
      </c>
      <c r="Q81" s="194">
        <f t="shared" si="35"/>
        <v>47811073.924973063</v>
      </c>
      <c r="R81" s="194">
        <f t="shared" si="35"/>
        <v>17938266.652913563</v>
      </c>
      <c r="S81" s="8"/>
      <c r="T81" s="194">
        <f t="shared" si="30"/>
        <v>290958842.53440285</v>
      </c>
      <c r="U81" s="194">
        <f t="shared" si="22"/>
        <v>10389476.672673959</v>
      </c>
      <c r="V81" s="194">
        <f t="shared" si="22"/>
        <v>47799276.924973063</v>
      </c>
      <c r="W81" s="194">
        <f t="shared" si="22"/>
        <v>17928631.652913563</v>
      </c>
      <c r="X81" s="8"/>
      <c r="Y81" s="194">
        <f t="shared" si="31"/>
        <v>290947432.53440285</v>
      </c>
      <c r="Z81" s="194">
        <f t="shared" si="23"/>
        <v>10382960.672673959</v>
      </c>
      <c r="AA81" s="194">
        <f t="shared" si="23"/>
        <v>47790681.924973063</v>
      </c>
      <c r="AB81" s="194">
        <f t="shared" si="23"/>
        <v>17922629.652913563</v>
      </c>
      <c r="AC81" s="8"/>
      <c r="AD81" s="194">
        <f t="shared" si="32"/>
        <v>290300499.29618716</v>
      </c>
      <c r="AE81" s="194">
        <f t="shared" si="24"/>
        <v>9863706.2726504393</v>
      </c>
      <c r="AF81" s="194">
        <f t="shared" si="24"/>
        <v>45657595.957738951</v>
      </c>
      <c r="AG81" s="194">
        <f t="shared" si="24"/>
        <v>15857967.537681889</v>
      </c>
      <c r="AI81" s="194">
        <f t="shared" si="27"/>
        <v>290515267.14237249</v>
      </c>
      <c r="AJ81" s="194">
        <f t="shared" si="25"/>
        <v>10078474.118835753</v>
      </c>
      <c r="AK81" s="194">
        <f t="shared" si="25"/>
        <v>47038246.397501685</v>
      </c>
      <c r="AL81" s="194">
        <f t="shared" si="25"/>
        <v>17238617.977444623</v>
      </c>
    </row>
    <row r="82" spans="2:38" x14ac:dyDescent="0.3">
      <c r="B82" s="222"/>
      <c r="C82" s="180"/>
      <c r="D82" s="179"/>
      <c r="E82" s="182"/>
      <c r="F82" s="195"/>
      <c r="G82" s="183"/>
      <c r="H82" s="184"/>
      <c r="I82" s="145" t="s">
        <v>1004</v>
      </c>
      <c r="J82" s="208">
        <f>J69*$D$83</f>
        <v>6487540.8293593321</v>
      </c>
      <c r="K82" s="208">
        <f t="shared" ref="K82:M82" si="39">K69*$D$83</f>
        <v>268703.85345955251</v>
      </c>
      <c r="L82" s="208">
        <f t="shared" si="39"/>
        <v>470404.14119891269</v>
      </c>
      <c r="M82" s="208">
        <f t="shared" si="39"/>
        <v>181817.23188867621</v>
      </c>
      <c r="N82" s="207"/>
      <c r="O82" s="182">
        <f>E$84-J82</f>
        <v>5995877.884844875</v>
      </c>
      <c r="P82" s="195">
        <f t="shared" ref="P82:R85" si="40">F$84-K82</f>
        <v>227840.05008156592</v>
      </c>
      <c r="Q82" s="182">
        <f t="shared" si="40"/>
        <v>1038564.0003151249</v>
      </c>
      <c r="R82" s="195">
        <f t="shared" si="40"/>
        <v>392362.95148484583</v>
      </c>
      <c r="S82" s="207"/>
      <c r="T82" s="182">
        <f t="shared" si="30"/>
        <v>5981733.884844875</v>
      </c>
      <c r="U82" s="195">
        <f t="shared" si="22"/>
        <v>217776.05008156592</v>
      </c>
      <c r="V82" s="182">
        <f t="shared" si="22"/>
        <v>1026767.0003151249</v>
      </c>
      <c r="W82" s="195">
        <f t="shared" si="22"/>
        <v>382727.95148484583</v>
      </c>
      <c r="X82" s="207"/>
      <c r="Y82" s="182">
        <f t="shared" si="31"/>
        <v>5970323.884844875</v>
      </c>
      <c r="Z82" s="195">
        <f t="shared" si="23"/>
        <v>211260.05008156592</v>
      </c>
      <c r="AA82" s="182">
        <f t="shared" si="23"/>
        <v>1018172.0003151249</v>
      </c>
      <c r="AB82" s="195">
        <f t="shared" si="23"/>
        <v>376725.95148484583</v>
      </c>
      <c r="AC82" s="207"/>
      <c r="AD82" s="182">
        <f t="shared" si="32"/>
        <v>5323390.6466292152</v>
      </c>
      <c r="AE82" s="184">
        <f t="shared" si="24"/>
        <v>-307994.34994195477</v>
      </c>
      <c r="AF82" s="184">
        <f t="shared" si="24"/>
        <v>-1114913.9669189856</v>
      </c>
      <c r="AG82" s="184">
        <f t="shared" si="24"/>
        <v>-1687936.1637468287</v>
      </c>
      <c r="AI82" s="182">
        <f t="shared" si="27"/>
        <v>5538158.4928145297</v>
      </c>
      <c r="AJ82" s="184">
        <f t="shared" si="25"/>
        <v>-93226.50375664077</v>
      </c>
      <c r="AK82" s="195">
        <f t="shared" si="25"/>
        <v>265736.47284374689</v>
      </c>
      <c r="AL82" s="184">
        <f t="shared" si="25"/>
        <v>-307285.72398409597</v>
      </c>
    </row>
    <row r="83" spans="2:38" x14ac:dyDescent="0.3">
      <c r="B83" s="222" t="s">
        <v>917</v>
      </c>
      <c r="C83" s="180">
        <v>2.3630000000000001E-3</v>
      </c>
      <c r="D83" s="180">
        <v>1.0505E-2</v>
      </c>
      <c r="I83" s="221" t="s">
        <v>835</v>
      </c>
      <c r="J83" s="208">
        <f t="shared" ref="J83:M85" si="41">J70*$D$83</f>
        <v>6130910.6126033617</v>
      </c>
      <c r="K83" s="208">
        <f t="shared" si="41"/>
        <v>263605.24852013361</v>
      </c>
      <c r="L83" s="208">
        <f t="shared" si="41"/>
        <v>441931.11704583158</v>
      </c>
      <c r="M83" s="208">
        <f t="shared" si="41"/>
        <v>172660.93222777426</v>
      </c>
      <c r="O83" s="182">
        <f>E$84-J83</f>
        <v>6352508.1016008453</v>
      </c>
      <c r="P83" s="195">
        <f t="shared" si="40"/>
        <v>232938.65502098482</v>
      </c>
      <c r="Q83" s="182">
        <f t="shared" si="40"/>
        <v>1067037.0244682059</v>
      </c>
      <c r="R83" s="195">
        <f t="shared" si="40"/>
        <v>401519.25114574772</v>
      </c>
      <c r="T83" s="182">
        <f t="shared" si="30"/>
        <v>6338364.1016008453</v>
      </c>
      <c r="U83" s="195">
        <f t="shared" si="22"/>
        <v>222874.65502098482</v>
      </c>
      <c r="V83" s="182">
        <f t="shared" si="22"/>
        <v>1055240.0244682059</v>
      </c>
      <c r="W83" s="195">
        <f t="shared" si="22"/>
        <v>391884.25114574772</v>
      </c>
      <c r="Y83" s="182">
        <f t="shared" si="31"/>
        <v>6326954.1016008453</v>
      </c>
      <c r="Z83" s="195">
        <f t="shared" si="23"/>
        <v>216358.65502098482</v>
      </c>
      <c r="AA83" s="182">
        <f t="shared" si="23"/>
        <v>1046645.0244682059</v>
      </c>
      <c r="AB83" s="195">
        <f t="shared" si="23"/>
        <v>385882.25114574772</v>
      </c>
      <c r="AD83" s="182">
        <f t="shared" si="32"/>
        <v>5680020.8633851856</v>
      </c>
      <c r="AE83" s="184">
        <f t="shared" si="24"/>
        <v>-302895.74500253587</v>
      </c>
      <c r="AF83" s="184">
        <f t="shared" si="24"/>
        <v>-1086440.9427659046</v>
      </c>
      <c r="AG83" s="184">
        <f t="shared" si="24"/>
        <v>-1678779.8640859267</v>
      </c>
      <c r="AI83" s="182">
        <f t="shared" si="27"/>
        <v>5894788.7095704991</v>
      </c>
      <c r="AJ83" s="184">
        <f t="shared" si="25"/>
        <v>-88127.898817221867</v>
      </c>
      <c r="AK83" s="195">
        <f t="shared" si="25"/>
        <v>294209.49699682789</v>
      </c>
      <c r="AL83" s="184">
        <f t="shared" si="25"/>
        <v>-298129.42432319408</v>
      </c>
    </row>
    <row r="84" spans="2:38" x14ac:dyDescent="0.3">
      <c r="B84" s="222"/>
      <c r="C84" s="180"/>
      <c r="D84" s="179" t="s">
        <v>832</v>
      </c>
      <c r="E84" s="182">
        <f>E72*$D$83</f>
        <v>12483418.714204207</v>
      </c>
      <c r="F84" s="195">
        <f t="shared" ref="F84:H84" si="42">F72*$D$83</f>
        <v>496543.90354111843</v>
      </c>
      <c r="G84" s="183">
        <f t="shared" si="42"/>
        <v>1508968.1415140375</v>
      </c>
      <c r="H84" s="184">
        <f t="shared" si="42"/>
        <v>574180.18337352201</v>
      </c>
      <c r="I84" s="221" t="s">
        <v>836</v>
      </c>
      <c r="J84" s="208">
        <f t="shared" si="41"/>
        <v>5923516.4250129685</v>
      </c>
      <c r="K84" s="208">
        <f t="shared" si="41"/>
        <v>260640.2136476716</v>
      </c>
      <c r="L84" s="208">
        <f t="shared" si="41"/>
        <v>425372.95838450122</v>
      </c>
      <c r="M84" s="208">
        <f t="shared" si="41"/>
        <v>167336.19180958817</v>
      </c>
      <c r="O84" s="182">
        <f t="shared" ref="O84:O85" si="43">E$84-J84</f>
        <v>6559902.2891912386</v>
      </c>
      <c r="P84" s="195">
        <f t="shared" si="40"/>
        <v>235903.68989344683</v>
      </c>
      <c r="Q84" s="182">
        <f t="shared" si="40"/>
        <v>1083595.1831295362</v>
      </c>
      <c r="R84" s="195">
        <f t="shared" si="40"/>
        <v>406843.99156393384</v>
      </c>
      <c r="T84" s="182">
        <f t="shared" si="30"/>
        <v>6545758.2891912386</v>
      </c>
      <c r="U84" s="195">
        <f t="shared" si="22"/>
        <v>225839.68989344683</v>
      </c>
      <c r="V84" s="182">
        <f t="shared" si="22"/>
        <v>1071798.1831295362</v>
      </c>
      <c r="W84" s="195">
        <f t="shared" si="22"/>
        <v>397208.99156393384</v>
      </c>
      <c r="Y84" s="182">
        <f t="shared" si="31"/>
        <v>6534348.2891912386</v>
      </c>
      <c r="Z84" s="195">
        <f t="shared" si="23"/>
        <v>219323.68989344683</v>
      </c>
      <c r="AA84" s="182">
        <f t="shared" si="23"/>
        <v>1063203.1831295362</v>
      </c>
      <c r="AB84" s="195">
        <f t="shared" si="23"/>
        <v>391206.99156393384</v>
      </c>
      <c r="AD84" s="182">
        <f t="shared" si="32"/>
        <v>5887415.0509755788</v>
      </c>
      <c r="AE84" s="184">
        <f t="shared" si="24"/>
        <v>-299930.71013007383</v>
      </c>
      <c r="AF84" s="184">
        <f t="shared" si="24"/>
        <v>-1069882.7841045742</v>
      </c>
      <c r="AG84" s="184">
        <f t="shared" si="24"/>
        <v>-1673455.1236677405</v>
      </c>
      <c r="AI84" s="182">
        <f t="shared" si="27"/>
        <v>6102182.8971608933</v>
      </c>
      <c r="AJ84" s="184">
        <f t="shared" si="25"/>
        <v>-85162.863944759854</v>
      </c>
      <c r="AK84" s="195">
        <f t="shared" si="25"/>
        <v>310767.65565815824</v>
      </c>
      <c r="AL84" s="184">
        <f t="shared" si="25"/>
        <v>-292804.68390500796</v>
      </c>
    </row>
    <row r="85" spans="2:38" x14ac:dyDescent="0.3">
      <c r="B85" s="222"/>
      <c r="C85" s="180"/>
      <c r="D85" s="179" t="s">
        <v>833</v>
      </c>
      <c r="E85" s="182">
        <f>E72*$C$83</f>
        <v>2808026.5037281811</v>
      </c>
      <c r="F85" s="195">
        <f t="shared" ref="F85:H85" si="44">F72*$C$83</f>
        <v>111692.83617969185</v>
      </c>
      <c r="G85" s="183">
        <f t="shared" si="44"/>
        <v>339428.05505927379</v>
      </c>
      <c r="H85" s="184">
        <f t="shared" si="44"/>
        <v>129156.38013437721</v>
      </c>
      <c r="I85" s="8" t="s">
        <v>837</v>
      </c>
      <c r="J85" s="170">
        <f t="shared" si="41"/>
        <v>5855943.2288657902</v>
      </c>
      <c r="K85" s="170">
        <f t="shared" si="41"/>
        <v>259674.1456717657</v>
      </c>
      <c r="L85" s="170">
        <f t="shared" si="41"/>
        <v>419977.97737728042</v>
      </c>
      <c r="M85" s="170">
        <f t="shared" si="41"/>
        <v>165601.2843230702</v>
      </c>
      <c r="N85" s="8"/>
      <c r="O85" s="194">
        <f t="shared" si="43"/>
        <v>6627475.4853384169</v>
      </c>
      <c r="P85" s="196">
        <f t="shared" si="40"/>
        <v>236869.75786935273</v>
      </c>
      <c r="Q85" s="194">
        <f t="shared" si="40"/>
        <v>1088990.1641367571</v>
      </c>
      <c r="R85" s="196">
        <f t="shared" si="40"/>
        <v>408578.89905045182</v>
      </c>
      <c r="S85" s="8"/>
      <c r="T85" s="194">
        <f t="shared" si="30"/>
        <v>6613331.4853384169</v>
      </c>
      <c r="U85" s="196">
        <f t="shared" si="22"/>
        <v>226805.75786935273</v>
      </c>
      <c r="V85" s="194">
        <f t="shared" si="22"/>
        <v>1077193.1641367571</v>
      </c>
      <c r="W85" s="196">
        <f t="shared" si="22"/>
        <v>398943.89905045182</v>
      </c>
      <c r="X85" s="8"/>
      <c r="Y85" s="194">
        <f t="shared" si="31"/>
        <v>6601921.4853384169</v>
      </c>
      <c r="Z85" s="196">
        <f t="shared" si="23"/>
        <v>220289.75786935273</v>
      </c>
      <c r="AA85" s="194">
        <f t="shared" si="23"/>
        <v>1068598.1641367571</v>
      </c>
      <c r="AB85" s="196">
        <f t="shared" si="23"/>
        <v>392941.89905045182</v>
      </c>
      <c r="AC85" s="8"/>
      <c r="AD85" s="194">
        <f t="shared" si="32"/>
        <v>5954988.2471227571</v>
      </c>
      <c r="AE85" s="197">
        <f t="shared" si="24"/>
        <v>-298964.64215416799</v>
      </c>
      <c r="AF85" s="197">
        <f t="shared" si="24"/>
        <v>-1064487.8030973533</v>
      </c>
      <c r="AG85" s="197">
        <f t="shared" si="24"/>
        <v>-1671720.2161812226</v>
      </c>
      <c r="AI85" s="194">
        <f t="shared" si="27"/>
        <v>6169756.0933080707</v>
      </c>
      <c r="AJ85" s="197">
        <f t="shared" si="25"/>
        <v>-84196.795968853956</v>
      </c>
      <c r="AK85" s="196">
        <f t="shared" si="25"/>
        <v>316162.63666537916</v>
      </c>
      <c r="AL85" s="197">
        <f t="shared" si="25"/>
        <v>-291069.77641848999</v>
      </c>
    </row>
    <row r="86" spans="2:38" x14ac:dyDescent="0.3">
      <c r="B86" s="222"/>
      <c r="C86" s="180"/>
      <c r="D86" s="179"/>
      <c r="E86" s="182"/>
      <c r="F86" s="195"/>
      <c r="G86" s="183"/>
      <c r="H86" s="184"/>
      <c r="I86" s="145" t="s">
        <v>1004</v>
      </c>
      <c r="J86" s="208">
        <f>J69*$D$87</f>
        <v>2128135.7161325328</v>
      </c>
      <c r="K86" s="208">
        <f t="shared" ref="K86:M89" si="45">K69*$D$87</f>
        <v>88144.072253366758</v>
      </c>
      <c r="L86" s="208">
        <f t="shared" si="45"/>
        <v>154308.67877881514</v>
      </c>
      <c r="M86" s="208">
        <f t="shared" si="45"/>
        <v>59642.282826118811</v>
      </c>
      <c r="N86" s="207"/>
      <c r="O86" s="182">
        <f>E$88-J86</f>
        <v>1966853.4213398797</v>
      </c>
      <c r="P86" s="183">
        <f t="shared" ref="P86:R89" si="46">F$88-K86</f>
        <v>74739.344367546524</v>
      </c>
      <c r="Q86" s="195">
        <f t="shared" si="46"/>
        <v>340684.58306386671</v>
      </c>
      <c r="R86" s="195">
        <f t="shared" si="46"/>
        <v>128708.49412820357</v>
      </c>
      <c r="S86" s="207"/>
      <c r="T86" s="182">
        <f t="shared" si="30"/>
        <v>1952709.4213398797</v>
      </c>
      <c r="U86" s="183">
        <f t="shared" si="22"/>
        <v>64675.344367546524</v>
      </c>
      <c r="V86" s="195">
        <f t="shared" si="22"/>
        <v>328887.58306386671</v>
      </c>
      <c r="W86" s="195">
        <f t="shared" si="22"/>
        <v>119073.49412820357</v>
      </c>
      <c r="X86" s="207"/>
      <c r="Y86" s="182">
        <f t="shared" si="31"/>
        <v>1941299.4213398797</v>
      </c>
      <c r="Z86" s="183">
        <f t="shared" si="23"/>
        <v>58159.344367546524</v>
      </c>
      <c r="AA86" s="195">
        <f t="shared" si="23"/>
        <v>320292.58306386671</v>
      </c>
      <c r="AB86" s="195">
        <f t="shared" si="23"/>
        <v>113071.49412820357</v>
      </c>
      <c r="AC86" s="207"/>
      <c r="AD86" s="182">
        <f t="shared" si="32"/>
        <v>1294366.18312422</v>
      </c>
      <c r="AE86" s="184">
        <f t="shared" si="24"/>
        <v>-461095.0556559742</v>
      </c>
      <c r="AF86" s="184">
        <f t="shared" si="24"/>
        <v>-1812793.3841702437</v>
      </c>
      <c r="AG86" s="184">
        <f t="shared" si="24"/>
        <v>-1951590.6211034709</v>
      </c>
      <c r="AI86" s="182">
        <f t="shared" si="27"/>
        <v>1509134.029309534</v>
      </c>
      <c r="AJ86" s="184">
        <f t="shared" si="25"/>
        <v>-246327.20947066016</v>
      </c>
      <c r="AK86" s="184">
        <f t="shared" si="25"/>
        <v>-432142.94440751127</v>
      </c>
      <c r="AL86" s="184">
        <f t="shared" si="25"/>
        <v>-570940.1813407382</v>
      </c>
    </row>
    <row r="87" spans="2:38" x14ac:dyDescent="0.3">
      <c r="B87" s="222" t="s">
        <v>918</v>
      </c>
      <c r="C87" s="180">
        <v>3.0200000000000002E-4</v>
      </c>
      <c r="D87" s="180">
        <v>3.4459999999999998E-3</v>
      </c>
      <c r="I87" s="221" t="s">
        <v>835</v>
      </c>
      <c r="J87" s="101">
        <f>J70*$D$87</f>
        <v>2011148.78353462</v>
      </c>
      <c r="K87" s="101">
        <f t="shared" si="45"/>
        <v>86471.555107128079</v>
      </c>
      <c r="L87" s="101">
        <f t="shared" si="45"/>
        <v>144968.55110327801</v>
      </c>
      <c r="M87" s="101">
        <f t="shared" si="45"/>
        <v>56638.702756488346</v>
      </c>
      <c r="O87" s="182">
        <f>E$88-J87</f>
        <v>2083840.3539377926</v>
      </c>
      <c r="P87" s="183">
        <f t="shared" si="46"/>
        <v>76411.861513785203</v>
      </c>
      <c r="Q87" s="195">
        <f t="shared" si="46"/>
        <v>350024.71073940385</v>
      </c>
      <c r="R87" s="195">
        <f t="shared" si="46"/>
        <v>131712.07419783404</v>
      </c>
      <c r="T87" s="182">
        <f t="shared" si="30"/>
        <v>2069696.3539377926</v>
      </c>
      <c r="U87" s="183">
        <f t="shared" si="22"/>
        <v>66347.861513785203</v>
      </c>
      <c r="V87" s="195">
        <f t="shared" si="22"/>
        <v>338227.71073940385</v>
      </c>
      <c r="W87" s="195">
        <f t="shared" si="22"/>
        <v>122077.07419783404</v>
      </c>
      <c r="Y87" s="182">
        <f t="shared" si="31"/>
        <v>2058286.3539377926</v>
      </c>
      <c r="Z87" s="183">
        <f t="shared" si="23"/>
        <v>59831.861513785203</v>
      </c>
      <c r="AA87" s="195">
        <f t="shared" si="23"/>
        <v>329632.71073940385</v>
      </c>
      <c r="AB87" s="195">
        <f t="shared" si="23"/>
        <v>116075.07419783404</v>
      </c>
      <c r="AD87" s="182">
        <f t="shared" si="32"/>
        <v>1411353.1157221328</v>
      </c>
      <c r="AE87" s="184">
        <f t="shared" si="24"/>
        <v>-459422.53850973549</v>
      </c>
      <c r="AF87" s="184">
        <f t="shared" si="24"/>
        <v>-1803453.2564947065</v>
      </c>
      <c r="AG87" s="184">
        <f t="shared" si="24"/>
        <v>-1948587.0410338403</v>
      </c>
      <c r="AI87" s="182">
        <f t="shared" si="27"/>
        <v>1626120.9619074469</v>
      </c>
      <c r="AJ87" s="184">
        <f t="shared" si="25"/>
        <v>-244654.69232442148</v>
      </c>
      <c r="AK87" s="184">
        <f t="shared" si="25"/>
        <v>-422802.81673197413</v>
      </c>
      <c r="AL87" s="184">
        <f t="shared" si="25"/>
        <v>-567936.60127110779</v>
      </c>
    </row>
    <row r="88" spans="2:38" x14ac:dyDescent="0.3">
      <c r="B88" s="222"/>
      <c r="C88" s="180"/>
      <c r="D88" s="179" t="s">
        <v>832</v>
      </c>
      <c r="E88" s="182">
        <f>E72*$D$87</f>
        <v>4094989.1374724125</v>
      </c>
      <c r="F88" s="195">
        <f t="shared" ref="F88:H88" si="47">F72*$D$87</f>
        <v>162883.41662091328</v>
      </c>
      <c r="G88" s="183">
        <f t="shared" si="47"/>
        <v>494993.26184268185</v>
      </c>
      <c r="H88" s="184">
        <f t="shared" si="47"/>
        <v>188350.77695432238</v>
      </c>
      <c r="I88" s="221" t="s">
        <v>836</v>
      </c>
      <c r="J88" s="101">
        <f>J71*$D$87</f>
        <v>1943116.3827315266</v>
      </c>
      <c r="K88" s="101">
        <f t="shared" si="45"/>
        <v>85498.922059007731</v>
      </c>
      <c r="L88" s="101">
        <f t="shared" si="45"/>
        <v>139536.9076242733</v>
      </c>
      <c r="M88" s="101">
        <f t="shared" si="45"/>
        <v>54892.005423687842</v>
      </c>
      <c r="O88" s="182">
        <f t="shared" ref="O88:O89" si="48">E$88-J88</f>
        <v>2151872.7547408859</v>
      </c>
      <c r="P88" s="183">
        <f t="shared" si="46"/>
        <v>77384.494561905551</v>
      </c>
      <c r="Q88" s="195">
        <f t="shared" si="46"/>
        <v>355456.35421840858</v>
      </c>
      <c r="R88" s="195">
        <f t="shared" si="46"/>
        <v>133458.77153063455</v>
      </c>
      <c r="T88" s="182">
        <f t="shared" si="30"/>
        <v>2137728.7547408859</v>
      </c>
      <c r="U88" s="183">
        <f t="shared" si="22"/>
        <v>67320.494561905551</v>
      </c>
      <c r="V88" s="195">
        <f t="shared" si="22"/>
        <v>343659.35421840858</v>
      </c>
      <c r="W88" s="195">
        <f t="shared" si="22"/>
        <v>123823.77153063455</v>
      </c>
      <c r="Y88" s="182">
        <f t="shared" si="31"/>
        <v>2126318.7547408859</v>
      </c>
      <c r="Z88" s="183">
        <f t="shared" si="23"/>
        <v>60804.494561905551</v>
      </c>
      <c r="AA88" s="195">
        <f t="shared" si="23"/>
        <v>335064.35421840858</v>
      </c>
      <c r="AB88" s="195">
        <f t="shared" si="23"/>
        <v>117821.77153063455</v>
      </c>
      <c r="AD88" s="182">
        <f t="shared" si="32"/>
        <v>1479385.5165252262</v>
      </c>
      <c r="AE88" s="184">
        <f t="shared" si="24"/>
        <v>-458449.90546161513</v>
      </c>
      <c r="AF88" s="184">
        <f t="shared" si="24"/>
        <v>-1798021.613015702</v>
      </c>
      <c r="AG88" s="184">
        <f t="shared" si="24"/>
        <v>-1946840.3437010399</v>
      </c>
      <c r="AI88" s="182">
        <f t="shared" si="27"/>
        <v>1694153.3627105402</v>
      </c>
      <c r="AJ88" s="184">
        <f t="shared" si="25"/>
        <v>-243682.05927630112</v>
      </c>
      <c r="AK88" s="184">
        <f t="shared" si="25"/>
        <v>-417371.1732529694</v>
      </c>
      <c r="AL88" s="184">
        <f t="shared" si="25"/>
        <v>-566189.90393830719</v>
      </c>
    </row>
    <row r="89" spans="2:38" x14ac:dyDescent="0.3">
      <c r="B89" s="222"/>
      <c r="C89" s="180"/>
      <c r="D89" s="179" t="s">
        <v>833</v>
      </c>
      <c r="E89" s="195">
        <f>E72*$C$87</f>
        <v>358876.00682433799</v>
      </c>
      <c r="F89" s="183">
        <f t="shared" ref="F89:H89" si="49">F72*$C$87</f>
        <v>14274.750963295361</v>
      </c>
      <c r="G89" s="184">
        <f t="shared" si="49"/>
        <v>43380.140765087039</v>
      </c>
      <c r="H89" s="184">
        <f t="shared" si="49"/>
        <v>16506.655438248803</v>
      </c>
      <c r="I89" s="8" t="s">
        <v>837</v>
      </c>
      <c r="J89" s="170">
        <f>J72*$D$87</f>
        <v>1920950.0587026665</v>
      </c>
      <c r="K89" s="170">
        <f t="shared" si="45"/>
        <v>85182.018656345026</v>
      </c>
      <c r="L89" s="170">
        <f t="shared" si="45"/>
        <v>137767.16897116689</v>
      </c>
      <c r="M89" s="170">
        <f t="shared" si="45"/>
        <v>54322.896313879093</v>
      </c>
      <c r="N89" s="8"/>
      <c r="O89" s="194">
        <f t="shared" si="48"/>
        <v>2174039.0787697462</v>
      </c>
      <c r="P89" s="193">
        <f t="shared" si="46"/>
        <v>77701.397964568256</v>
      </c>
      <c r="Q89" s="196">
        <f t="shared" si="46"/>
        <v>357226.09287151496</v>
      </c>
      <c r="R89" s="196">
        <f t="shared" si="46"/>
        <v>134027.8806404433</v>
      </c>
      <c r="S89" s="8"/>
      <c r="T89" s="194">
        <f t="shared" si="30"/>
        <v>2159895.0787697462</v>
      </c>
      <c r="U89" s="193">
        <f t="shared" si="22"/>
        <v>67637.397964568256</v>
      </c>
      <c r="V89" s="196">
        <f t="shared" si="22"/>
        <v>345429.09287151496</v>
      </c>
      <c r="W89" s="196">
        <f t="shared" si="22"/>
        <v>124392.8806404433</v>
      </c>
      <c r="X89" s="8"/>
      <c r="Y89" s="194">
        <f t="shared" si="31"/>
        <v>2148485.0787697462</v>
      </c>
      <c r="Z89" s="193">
        <f t="shared" si="23"/>
        <v>61121.397964568256</v>
      </c>
      <c r="AA89" s="196">
        <f t="shared" si="23"/>
        <v>336834.09287151496</v>
      </c>
      <c r="AB89" s="196">
        <f t="shared" si="23"/>
        <v>118390.8806404433</v>
      </c>
      <c r="AC89" s="8"/>
      <c r="AD89" s="194">
        <f t="shared" si="32"/>
        <v>1501551.8405540865</v>
      </c>
      <c r="AE89" s="197">
        <f t="shared" si="24"/>
        <v>-458133.00205895246</v>
      </c>
      <c r="AF89" s="197">
        <f t="shared" si="24"/>
        <v>-1796251.8743625954</v>
      </c>
      <c r="AG89" s="197">
        <f t="shared" si="24"/>
        <v>-1946271.2345912312</v>
      </c>
      <c r="AI89" s="194">
        <f t="shared" si="27"/>
        <v>1716319.6867394005</v>
      </c>
      <c r="AJ89" s="197">
        <f t="shared" si="25"/>
        <v>-243365.15587363843</v>
      </c>
      <c r="AK89" s="197">
        <f t="shared" si="25"/>
        <v>-415601.43459986302</v>
      </c>
      <c r="AL89" s="197">
        <f t="shared" si="25"/>
        <v>-565620.7948284985</v>
      </c>
    </row>
    <row r="90" spans="2:38" x14ac:dyDescent="0.3">
      <c r="B90" s="222"/>
      <c r="C90" s="180"/>
      <c r="D90" s="179"/>
      <c r="E90" s="195"/>
      <c r="F90" s="183"/>
      <c r="G90" s="184"/>
      <c r="H90" s="184"/>
      <c r="I90" s="145" t="s">
        <v>1004</v>
      </c>
      <c r="J90" s="208">
        <f>J69*$D$91</f>
        <v>322987.51582626661</v>
      </c>
      <c r="K90" s="208">
        <f t="shared" ref="K90:M93" si="50">K69*$D$91</f>
        <v>13377.64068151794</v>
      </c>
      <c r="L90" s="208">
        <f t="shared" si="50"/>
        <v>23419.454150121976</v>
      </c>
      <c r="M90" s="208">
        <f t="shared" si="50"/>
        <v>9051.9193029774069</v>
      </c>
      <c r="N90" s="207"/>
      <c r="O90" s="195">
        <f>E$92-J90</f>
        <v>298509.67479998758</v>
      </c>
      <c r="P90" s="183">
        <f t="shared" ref="P90:R93" si="51">F$92-K90</f>
        <v>11343.2028741227</v>
      </c>
      <c r="Q90" s="183">
        <f t="shared" si="51"/>
        <v>51705.756512594977</v>
      </c>
      <c r="R90" s="183">
        <f t="shared" si="51"/>
        <v>19534.109816903794</v>
      </c>
      <c r="S90" s="207"/>
      <c r="T90" s="195">
        <f t="shared" si="30"/>
        <v>284365.67479998758</v>
      </c>
      <c r="U90" s="184">
        <f t="shared" si="30"/>
        <v>1279.2028741227005</v>
      </c>
      <c r="V90" s="183">
        <f t="shared" si="30"/>
        <v>39908.756512594977</v>
      </c>
      <c r="W90" s="183">
        <f t="shared" si="30"/>
        <v>9899.1098169037941</v>
      </c>
      <c r="X90" s="207"/>
      <c r="Y90" s="195">
        <f t="shared" si="31"/>
        <v>272955.67479998758</v>
      </c>
      <c r="Z90" s="184">
        <f t="shared" si="31"/>
        <v>-5236.7971258772995</v>
      </c>
      <c r="AA90" s="183">
        <f t="shared" si="31"/>
        <v>31313.756512594977</v>
      </c>
      <c r="AB90" s="184">
        <f t="shared" si="31"/>
        <v>3897.1098169037941</v>
      </c>
      <c r="AC90" s="207"/>
      <c r="AD90" s="184">
        <f t="shared" si="32"/>
        <v>-373977.56341567216</v>
      </c>
      <c r="AE90" s="184">
        <f t="shared" si="32"/>
        <v>-524491.19714939804</v>
      </c>
      <c r="AF90" s="184">
        <f t="shared" si="32"/>
        <v>-2101772.2107215156</v>
      </c>
      <c r="AG90" s="184">
        <f t="shared" si="32"/>
        <v>-2060765.0054147707</v>
      </c>
      <c r="AI90" s="184">
        <f t="shared" si="27"/>
        <v>-159209.71723035816</v>
      </c>
      <c r="AJ90" s="184">
        <f t="shared" si="27"/>
        <v>-309723.35096408398</v>
      </c>
      <c r="AK90" s="184">
        <f t="shared" si="27"/>
        <v>-721121.77095878299</v>
      </c>
      <c r="AL90" s="184">
        <f t="shared" si="27"/>
        <v>-680114.56565203797</v>
      </c>
    </row>
    <row r="91" spans="2:38" x14ac:dyDescent="0.3">
      <c r="B91" s="222" t="s">
        <v>919</v>
      </c>
      <c r="C91" s="180">
        <v>2.1999999999999999E-5</v>
      </c>
      <c r="D91" s="180">
        <v>5.2300000000000003E-4</v>
      </c>
      <c r="I91" s="221" t="s">
        <v>835</v>
      </c>
      <c r="J91" s="101">
        <f>J70*$D$91</f>
        <v>305232.38937568379</v>
      </c>
      <c r="K91" s="101">
        <f t="shared" si="50"/>
        <v>13123.802472730118</v>
      </c>
      <c r="L91" s="101">
        <f t="shared" si="50"/>
        <v>22001.901400758677</v>
      </c>
      <c r="M91" s="101">
        <f t="shared" si="50"/>
        <v>8596.0654502737689</v>
      </c>
      <c r="O91" s="195">
        <f>E$92-J91</f>
        <v>316264.8012505704</v>
      </c>
      <c r="P91" s="183">
        <f t="shared" si="51"/>
        <v>11597.041082910522</v>
      </c>
      <c r="Q91" s="183">
        <f t="shared" si="51"/>
        <v>53123.309261958275</v>
      </c>
      <c r="R91" s="183">
        <f t="shared" si="51"/>
        <v>19989.96366960743</v>
      </c>
      <c r="T91" s="195">
        <f t="shared" si="30"/>
        <v>302120.8012505704</v>
      </c>
      <c r="U91" s="184">
        <f t="shared" si="30"/>
        <v>1533.0410829105222</v>
      </c>
      <c r="V91" s="183">
        <f t="shared" si="30"/>
        <v>41326.309261958275</v>
      </c>
      <c r="W91" s="183">
        <f t="shared" si="30"/>
        <v>10354.96366960743</v>
      </c>
      <c r="Y91" s="195">
        <f t="shared" si="31"/>
        <v>290710.8012505704</v>
      </c>
      <c r="Z91" s="184">
        <f t="shared" si="31"/>
        <v>-4982.9589170894778</v>
      </c>
      <c r="AA91" s="183">
        <f t="shared" si="31"/>
        <v>32731.309261958275</v>
      </c>
      <c r="AB91" s="184">
        <f t="shared" si="31"/>
        <v>4352.9636696074303</v>
      </c>
      <c r="AD91" s="184">
        <f t="shared" si="32"/>
        <v>-356222.43696508935</v>
      </c>
      <c r="AE91" s="184">
        <f t="shared" si="32"/>
        <v>-524237.3589406102</v>
      </c>
      <c r="AF91" s="184">
        <f t="shared" si="32"/>
        <v>-2100354.6579721523</v>
      </c>
      <c r="AG91" s="184">
        <f t="shared" si="32"/>
        <v>-2060309.151562067</v>
      </c>
      <c r="AI91" s="184">
        <f t="shared" si="27"/>
        <v>-141454.59077977535</v>
      </c>
      <c r="AJ91" s="184">
        <f t="shared" si="27"/>
        <v>-309469.51275529619</v>
      </c>
      <c r="AK91" s="184">
        <f t="shared" si="27"/>
        <v>-719704.21820941975</v>
      </c>
      <c r="AL91" s="184">
        <f t="shared" si="27"/>
        <v>-679658.71179933439</v>
      </c>
    </row>
    <row r="92" spans="2:38" x14ac:dyDescent="0.3">
      <c r="B92" s="222"/>
      <c r="C92" s="180"/>
      <c r="D92" s="179" t="s">
        <v>832</v>
      </c>
      <c r="E92" s="182">
        <f>E72*$D$91</f>
        <v>621497.19062625419</v>
      </c>
      <c r="F92" s="183">
        <f t="shared" ref="F92:H92" si="52">F72*$D$91</f>
        <v>24720.84355564064</v>
      </c>
      <c r="G92" s="184">
        <f t="shared" si="52"/>
        <v>75125.210662716956</v>
      </c>
      <c r="H92" s="184">
        <f t="shared" si="52"/>
        <v>28586.029119881201</v>
      </c>
      <c r="I92" s="221" t="s">
        <v>836</v>
      </c>
      <c r="J92" s="101">
        <f>J71*$D$91</f>
        <v>294907.1004551911</v>
      </c>
      <c r="K92" s="101">
        <f t="shared" si="50"/>
        <v>12976.185791311971</v>
      </c>
      <c r="L92" s="101">
        <f t="shared" si="50"/>
        <v>21177.539955744327</v>
      </c>
      <c r="M92" s="101">
        <f t="shared" si="50"/>
        <v>8330.9689020861133</v>
      </c>
      <c r="O92" s="195">
        <f t="shared" ref="O92:O93" si="53">E$92-J92</f>
        <v>326590.09017106309</v>
      </c>
      <c r="P92" s="183">
        <f t="shared" si="51"/>
        <v>11744.657764328669</v>
      </c>
      <c r="Q92" s="183">
        <f t="shared" si="51"/>
        <v>53947.670706972625</v>
      </c>
      <c r="R92" s="183">
        <f t="shared" si="51"/>
        <v>20255.060217795086</v>
      </c>
      <c r="T92" s="195">
        <f t="shared" si="30"/>
        <v>312446.09017106309</v>
      </c>
      <c r="U92" s="184">
        <f t="shared" si="30"/>
        <v>1680.6577643286691</v>
      </c>
      <c r="V92" s="183">
        <f t="shared" si="30"/>
        <v>42150.670706972625</v>
      </c>
      <c r="W92" s="183">
        <f t="shared" si="30"/>
        <v>10620.060217795086</v>
      </c>
      <c r="Y92" s="195">
        <f t="shared" si="31"/>
        <v>301036.09017106309</v>
      </c>
      <c r="Z92" s="184">
        <f t="shared" si="31"/>
        <v>-4835.3422356713309</v>
      </c>
      <c r="AA92" s="183">
        <f t="shared" si="31"/>
        <v>33555.670706972625</v>
      </c>
      <c r="AB92" s="184">
        <f t="shared" si="31"/>
        <v>4618.0602177950859</v>
      </c>
      <c r="AD92" s="184">
        <f t="shared" si="32"/>
        <v>-345897.14804459666</v>
      </c>
      <c r="AE92" s="184">
        <f t="shared" si="32"/>
        <v>-524089.74225919205</v>
      </c>
      <c r="AF92" s="184">
        <f t="shared" si="32"/>
        <v>-2099530.296527138</v>
      </c>
      <c r="AG92" s="184">
        <f t="shared" si="32"/>
        <v>-2060044.0550138792</v>
      </c>
      <c r="AI92" s="184">
        <f t="shared" si="27"/>
        <v>-131129.30185928266</v>
      </c>
      <c r="AJ92" s="184">
        <f t="shared" si="27"/>
        <v>-309321.89607387804</v>
      </c>
      <c r="AK92" s="184">
        <f t="shared" si="27"/>
        <v>-718879.85676440538</v>
      </c>
      <c r="AL92" s="184">
        <f t="shared" si="27"/>
        <v>-679393.61525114672</v>
      </c>
    </row>
    <row r="93" spans="2:38" x14ac:dyDescent="0.3">
      <c r="B93" s="222"/>
      <c r="C93" s="180"/>
      <c r="D93" s="179" t="s">
        <v>833</v>
      </c>
      <c r="E93" s="183">
        <f>E72*$C$91</f>
        <v>26143.285265349121</v>
      </c>
      <c r="F93" s="184">
        <f t="shared" ref="F93:H93" si="54">F72*$C$91</f>
        <v>1039.88252050496</v>
      </c>
      <c r="G93" s="184">
        <f t="shared" si="54"/>
        <v>3160.14270474144</v>
      </c>
      <c r="H93" s="184">
        <f t="shared" si="54"/>
        <v>1202.4715882168</v>
      </c>
      <c r="I93" s="8" t="s">
        <v>837</v>
      </c>
      <c r="J93" s="170">
        <f>J72*$D$91</f>
        <v>291542.91372649296</v>
      </c>
      <c r="K93" s="170">
        <f t="shared" si="50"/>
        <v>12928.089308551496</v>
      </c>
      <c r="L93" s="170">
        <f t="shared" si="50"/>
        <v>20908.946422495734</v>
      </c>
      <c r="M93" s="170">
        <f t="shared" si="50"/>
        <v>8244.5951167030671</v>
      </c>
      <c r="N93" s="8"/>
      <c r="O93" s="196">
        <f t="shared" si="53"/>
        <v>329954.27689976123</v>
      </c>
      <c r="P93" s="193">
        <f t="shared" si="51"/>
        <v>11792.754247089144</v>
      </c>
      <c r="Q93" s="193">
        <f t="shared" si="51"/>
        <v>54216.264240221222</v>
      </c>
      <c r="R93" s="193">
        <f t="shared" si="51"/>
        <v>20341.434003178132</v>
      </c>
      <c r="S93" s="8"/>
      <c r="T93" s="196">
        <f t="shared" si="30"/>
        <v>315810.27689976123</v>
      </c>
      <c r="U93" s="197">
        <f t="shared" si="30"/>
        <v>1728.754247089144</v>
      </c>
      <c r="V93" s="193">
        <f t="shared" si="30"/>
        <v>42419.264240221222</v>
      </c>
      <c r="W93" s="193">
        <f t="shared" si="30"/>
        <v>10706.434003178132</v>
      </c>
      <c r="X93" s="8"/>
      <c r="Y93" s="196">
        <f t="shared" si="31"/>
        <v>304400.27689976123</v>
      </c>
      <c r="Z93" s="197">
        <f t="shared" si="31"/>
        <v>-4787.245752910856</v>
      </c>
      <c r="AA93" s="193">
        <f t="shared" si="31"/>
        <v>33824.264240221222</v>
      </c>
      <c r="AB93" s="197">
        <f t="shared" si="31"/>
        <v>4704.4340031781321</v>
      </c>
      <c r="AC93" s="8"/>
      <c r="AD93" s="197">
        <f t="shared" si="32"/>
        <v>-342532.96131589852</v>
      </c>
      <c r="AE93" s="197">
        <f t="shared" si="32"/>
        <v>-524041.64577643154</v>
      </c>
      <c r="AF93" s="197">
        <f t="shared" si="32"/>
        <v>-2099261.7029938893</v>
      </c>
      <c r="AG93" s="197">
        <f t="shared" si="32"/>
        <v>-2059957.6812284964</v>
      </c>
      <c r="AI93" s="197">
        <f t="shared" si="27"/>
        <v>-127765.11513058451</v>
      </c>
      <c r="AJ93" s="197">
        <f t="shared" si="27"/>
        <v>-309273.79959111754</v>
      </c>
      <c r="AK93" s="197">
        <f t="shared" si="27"/>
        <v>-718611.26323115674</v>
      </c>
      <c r="AL93" s="197">
        <f t="shared" si="27"/>
        <v>-679307.24146576365</v>
      </c>
    </row>
    <row r="94" spans="2:38" x14ac:dyDescent="0.3">
      <c r="B94" s="222"/>
      <c r="C94" s="180"/>
      <c r="D94" s="179"/>
      <c r="E94" s="183"/>
      <c r="F94" s="184"/>
      <c r="G94" s="184"/>
      <c r="H94" s="184"/>
      <c r="I94" s="145" t="s">
        <v>1004</v>
      </c>
      <c r="J94" s="208">
        <f>J69*$D$95</f>
        <v>1852.7008555999996</v>
      </c>
      <c r="K94" s="208">
        <f t="shared" ref="K94:M97" si="55">K69*$D$95</f>
        <v>76.735988612913616</v>
      </c>
      <c r="L94" s="208">
        <f t="shared" si="55"/>
        <v>134.33721309821399</v>
      </c>
      <c r="M94" s="208">
        <f t="shared" si="55"/>
        <v>51.923055275205009</v>
      </c>
      <c r="N94" s="207"/>
      <c r="O94" s="184">
        <f>E$96-J94</f>
        <v>1712.2925896748807</v>
      </c>
      <c r="P94" s="184">
        <f t="shared" ref="P94:R97" si="56">F$96-K94</f>
        <v>65.066173274126385</v>
      </c>
      <c r="Q94" s="184">
        <f t="shared" si="56"/>
        <v>296.59133754834602</v>
      </c>
      <c r="R94" s="184">
        <f t="shared" si="56"/>
        <v>112.050343117995</v>
      </c>
      <c r="S94" s="207"/>
      <c r="T94" s="184">
        <f t="shared" si="30"/>
        <v>-12431.70741032512</v>
      </c>
      <c r="U94" s="184">
        <f t="shared" si="30"/>
        <v>-9998.9338267258736</v>
      </c>
      <c r="V94" s="184">
        <f t="shared" si="30"/>
        <v>-11500.408662451653</v>
      </c>
      <c r="W94" s="184">
        <f t="shared" si="30"/>
        <v>-9522.949656882005</v>
      </c>
      <c r="X94" s="207"/>
      <c r="Y94" s="184">
        <f t="shared" si="31"/>
        <v>-23841.707410325118</v>
      </c>
      <c r="Z94" s="184">
        <f t="shared" si="31"/>
        <v>-16514.933826725875</v>
      </c>
      <c r="AA94" s="184">
        <f t="shared" si="31"/>
        <v>-20095.408662451653</v>
      </c>
      <c r="AB94" s="184">
        <f t="shared" si="31"/>
        <v>-15524.949656882005</v>
      </c>
      <c r="AC94" s="207"/>
      <c r="AD94" s="184">
        <f t="shared" si="32"/>
        <v>-670774.94562598481</v>
      </c>
      <c r="AE94" s="184">
        <f t="shared" si="32"/>
        <v>-535769.33385024662</v>
      </c>
      <c r="AF94" s="184">
        <f t="shared" si="32"/>
        <v>-2153181.3758965619</v>
      </c>
      <c r="AG94" s="184">
        <f t="shared" si="32"/>
        <v>-2080187.0648885565</v>
      </c>
      <c r="AI94" s="184">
        <f t="shared" si="27"/>
        <v>-456007.09944067086</v>
      </c>
      <c r="AJ94" s="184">
        <f t="shared" si="27"/>
        <v>-321001.48766493256</v>
      </c>
      <c r="AK94" s="184">
        <f t="shared" si="27"/>
        <v>-772530.93613382964</v>
      </c>
      <c r="AL94" s="184">
        <f t="shared" si="27"/>
        <v>-699536.62512582378</v>
      </c>
    </row>
    <row r="95" spans="2:38" x14ac:dyDescent="0.3">
      <c r="B95" s="222" t="s">
        <v>827</v>
      </c>
      <c r="C95" s="180">
        <v>3.0000000000000001E-6</v>
      </c>
      <c r="D95" s="180">
        <v>3.0000000000000001E-6</v>
      </c>
      <c r="I95" s="221" t="s">
        <v>835</v>
      </c>
      <c r="J95" s="101">
        <f>J70*$D$95</f>
        <v>1750.8550059790657</v>
      </c>
      <c r="K95" s="101">
        <f t="shared" si="55"/>
        <v>75.279937702084808</v>
      </c>
      <c r="L95" s="101">
        <f t="shared" si="55"/>
        <v>126.20593537720082</v>
      </c>
      <c r="M95" s="101">
        <f t="shared" si="55"/>
        <v>49.308214819926015</v>
      </c>
      <c r="O95" s="184">
        <f>E$96-J95</f>
        <v>1814.1384392958146</v>
      </c>
      <c r="P95" s="184">
        <f t="shared" si="56"/>
        <v>66.522224184955192</v>
      </c>
      <c r="Q95" s="184">
        <f t="shared" si="56"/>
        <v>304.72261526935915</v>
      </c>
      <c r="R95" s="184">
        <f t="shared" si="56"/>
        <v>114.66518357327399</v>
      </c>
      <c r="T95" s="184">
        <f t="shared" si="30"/>
        <v>-12329.861560704185</v>
      </c>
      <c r="U95" s="184">
        <f t="shared" si="30"/>
        <v>-9997.4777758150449</v>
      </c>
      <c r="V95" s="184">
        <f t="shared" si="30"/>
        <v>-11492.277384730642</v>
      </c>
      <c r="W95" s="184">
        <f t="shared" si="30"/>
        <v>-9520.3348164267263</v>
      </c>
      <c r="Y95" s="184">
        <f t="shared" si="31"/>
        <v>-23739.861560704187</v>
      </c>
      <c r="Z95" s="184">
        <f t="shared" si="31"/>
        <v>-16513.477775815045</v>
      </c>
      <c r="AA95" s="184">
        <f t="shared" si="31"/>
        <v>-20087.277384730642</v>
      </c>
      <c r="AB95" s="184">
        <f t="shared" si="31"/>
        <v>-15522.334816426726</v>
      </c>
      <c r="AD95" s="184">
        <f t="shared" si="32"/>
        <v>-670673.09977636393</v>
      </c>
      <c r="AE95" s="184">
        <f t="shared" si="32"/>
        <v>-535767.87779933575</v>
      </c>
      <c r="AF95" s="184">
        <f t="shared" si="32"/>
        <v>-2153173.244618841</v>
      </c>
      <c r="AG95" s="184">
        <f t="shared" si="32"/>
        <v>-2080184.4500481011</v>
      </c>
      <c r="AI95" s="184">
        <f t="shared" si="27"/>
        <v>-455905.25359104993</v>
      </c>
      <c r="AJ95" s="184">
        <f t="shared" si="27"/>
        <v>-321000.03161402175</v>
      </c>
      <c r="AK95" s="184">
        <f t="shared" si="27"/>
        <v>-772522.80485610862</v>
      </c>
      <c r="AL95" s="184">
        <f t="shared" si="27"/>
        <v>-699534.01028536854</v>
      </c>
    </row>
    <row r="96" spans="2:38" x14ac:dyDescent="0.3">
      <c r="D96" s="179" t="s">
        <v>832</v>
      </c>
      <c r="E96" s="184">
        <f>E72*$D$95</f>
        <v>3564.9934452748803</v>
      </c>
      <c r="F96" s="184">
        <f t="shared" ref="F96:H96" si="57">F72*$D$95</f>
        <v>141.80216188704</v>
      </c>
      <c r="G96" s="184">
        <f t="shared" si="57"/>
        <v>430.92855064655998</v>
      </c>
      <c r="H96" s="184">
        <f t="shared" si="57"/>
        <v>163.9733983932</v>
      </c>
      <c r="I96" s="221" t="s">
        <v>836</v>
      </c>
      <c r="J96" s="101">
        <f>J71*$D$95</f>
        <v>1691.6277272764307</v>
      </c>
      <c r="K96" s="101">
        <f t="shared" si="55"/>
        <v>74.43318809547975</v>
      </c>
      <c r="L96" s="101">
        <f t="shared" si="55"/>
        <v>121.47728464098084</v>
      </c>
      <c r="M96" s="101">
        <f t="shared" si="55"/>
        <v>47.787584524394525</v>
      </c>
      <c r="O96" s="184">
        <f t="shared" ref="O96:O97" si="58">E$96-J96</f>
        <v>1873.3657179984496</v>
      </c>
      <c r="P96" s="184">
        <f t="shared" si="56"/>
        <v>67.368973791560251</v>
      </c>
      <c r="Q96" s="184">
        <f t="shared" si="56"/>
        <v>309.45126600557916</v>
      </c>
      <c r="R96" s="184">
        <f t="shared" si="56"/>
        <v>116.18581386880547</v>
      </c>
      <c r="T96" s="184">
        <f t="shared" si="30"/>
        <v>-12270.634282001551</v>
      </c>
      <c r="U96" s="184">
        <f t="shared" si="30"/>
        <v>-9996.6310262084389</v>
      </c>
      <c r="V96" s="184">
        <f t="shared" si="30"/>
        <v>-11487.548733994421</v>
      </c>
      <c r="W96" s="184">
        <f t="shared" si="30"/>
        <v>-9518.8141861311942</v>
      </c>
      <c r="Y96" s="184">
        <f t="shared" si="31"/>
        <v>-23680.634282001549</v>
      </c>
      <c r="Z96" s="184">
        <f t="shared" si="31"/>
        <v>-16512.631026208441</v>
      </c>
      <c r="AA96" s="184">
        <f t="shared" si="31"/>
        <v>-20082.548733994419</v>
      </c>
      <c r="AB96" s="184">
        <f t="shared" si="31"/>
        <v>-15520.814186131194</v>
      </c>
      <c r="AD96" s="184">
        <f t="shared" si="32"/>
        <v>-670613.87249766127</v>
      </c>
      <c r="AE96" s="184">
        <f t="shared" si="32"/>
        <v>-535767.03104972909</v>
      </c>
      <c r="AF96" s="184">
        <f t="shared" si="32"/>
        <v>-2153168.5159681048</v>
      </c>
      <c r="AG96" s="184">
        <f t="shared" si="32"/>
        <v>-2080182.9294178055</v>
      </c>
      <c r="AI96" s="184">
        <f t="shared" si="27"/>
        <v>-455846.02631234727</v>
      </c>
      <c r="AJ96" s="184">
        <f t="shared" si="27"/>
        <v>-320999.18486441515</v>
      </c>
      <c r="AK96" s="184">
        <f t="shared" si="27"/>
        <v>-772518.07620537234</v>
      </c>
      <c r="AL96" s="184">
        <f t="shared" si="27"/>
        <v>-699532.48965507303</v>
      </c>
    </row>
    <row r="97" spans="4:38" x14ac:dyDescent="0.3">
      <c r="D97" s="179" t="s">
        <v>833</v>
      </c>
      <c r="E97" s="184">
        <f>E72*$C$95</f>
        <v>3564.9934452748803</v>
      </c>
      <c r="F97" s="184">
        <f t="shared" ref="F97:H97" si="59">F72*$C$95</f>
        <v>141.80216188704</v>
      </c>
      <c r="G97" s="184">
        <f t="shared" si="59"/>
        <v>430.92855064655998</v>
      </c>
      <c r="H97" s="184">
        <f t="shared" si="59"/>
        <v>163.9733983932</v>
      </c>
      <c r="I97" s="8" t="s">
        <v>837</v>
      </c>
      <c r="J97" s="170">
        <f>J72*$D$95</f>
        <v>1672.330289062101</v>
      </c>
      <c r="K97" s="170">
        <f t="shared" si="55"/>
        <v>74.157300049052552</v>
      </c>
      <c r="L97" s="170">
        <f t="shared" si="55"/>
        <v>119.9365951577193</v>
      </c>
      <c r="M97" s="170">
        <f t="shared" si="55"/>
        <v>47.292132600591202</v>
      </c>
      <c r="N97" s="8"/>
      <c r="O97" s="197">
        <f t="shared" si="58"/>
        <v>1892.6631562127793</v>
      </c>
      <c r="P97" s="197">
        <f t="shared" si="56"/>
        <v>67.644861837987449</v>
      </c>
      <c r="Q97" s="197">
        <f t="shared" si="56"/>
        <v>310.99195548884069</v>
      </c>
      <c r="R97" s="197">
        <f t="shared" si="56"/>
        <v>116.6812657926088</v>
      </c>
      <c r="S97" s="8"/>
      <c r="T97" s="197">
        <f t="shared" si="30"/>
        <v>-12251.336843787221</v>
      </c>
      <c r="U97" s="197">
        <f t="shared" si="30"/>
        <v>-9996.3551381620127</v>
      </c>
      <c r="V97" s="197">
        <f t="shared" si="30"/>
        <v>-11486.00804451116</v>
      </c>
      <c r="W97" s="197">
        <f t="shared" si="30"/>
        <v>-9518.3187342073907</v>
      </c>
      <c r="X97" s="8"/>
      <c r="Y97" s="197">
        <f t="shared" si="31"/>
        <v>-23661.33684378722</v>
      </c>
      <c r="Z97" s="197">
        <f t="shared" si="31"/>
        <v>-16512.355138162013</v>
      </c>
      <c r="AA97" s="197">
        <f t="shared" si="31"/>
        <v>-20081.00804451116</v>
      </c>
      <c r="AB97" s="197">
        <f t="shared" si="31"/>
        <v>-15520.318734207391</v>
      </c>
      <c r="AC97" s="8"/>
      <c r="AD97" s="197">
        <f t="shared" si="32"/>
        <v>-670594.57505944697</v>
      </c>
      <c r="AE97" s="197">
        <f t="shared" si="32"/>
        <v>-535766.75516168273</v>
      </c>
      <c r="AF97" s="197">
        <f t="shared" si="32"/>
        <v>-2153166.9752786215</v>
      </c>
      <c r="AG97" s="197">
        <f t="shared" si="32"/>
        <v>-2080182.4339658818</v>
      </c>
      <c r="AI97" s="197">
        <f t="shared" si="27"/>
        <v>-455826.72887413297</v>
      </c>
      <c r="AJ97" s="197">
        <f t="shared" si="27"/>
        <v>-320998.90897636872</v>
      </c>
      <c r="AK97" s="197">
        <f t="shared" si="27"/>
        <v>-772516.53551588918</v>
      </c>
      <c r="AL97" s="197">
        <f t="shared" si="27"/>
        <v>-699531.99420314922</v>
      </c>
    </row>
    <row r="99" spans="4:38" x14ac:dyDescent="0.3">
      <c r="O99" s="221" t="s">
        <v>840</v>
      </c>
    </row>
    <row r="100" spans="4:38" x14ac:dyDescent="0.3">
      <c r="O100" s="221" t="s">
        <v>841</v>
      </c>
    </row>
    <row r="101" spans="4:38" x14ac:dyDescent="0.3">
      <c r="J101" s="86" t="s">
        <v>842</v>
      </c>
    </row>
    <row r="102" spans="4:38" x14ac:dyDescent="0.3">
      <c r="I102" s="221" t="s">
        <v>1013</v>
      </c>
      <c r="J102" s="86" t="s">
        <v>1014</v>
      </c>
    </row>
    <row r="103" spans="4:38" x14ac:dyDescent="0.3">
      <c r="I103" s="186" t="s">
        <v>1012</v>
      </c>
      <c r="J103" s="175">
        <v>617566951.86666656</v>
      </c>
      <c r="K103" s="175">
        <v>25578662.870971203</v>
      </c>
      <c r="L103" s="175">
        <v>44779071.032738</v>
      </c>
      <c r="M103" s="175">
        <v>17307685.091735002</v>
      </c>
    </row>
    <row r="104" spans="4:38" x14ac:dyDescent="0.3">
      <c r="I104" s="186" t="s">
        <v>835</v>
      </c>
      <c r="J104" s="175">
        <v>583618335.32635522</v>
      </c>
      <c r="K104" s="175">
        <v>25093312.567361601</v>
      </c>
      <c r="L104" s="175">
        <v>42068645.125733607</v>
      </c>
      <c r="M104" s="175">
        <v>16436071.606642004</v>
      </c>
    </row>
    <row r="105" spans="4:38" x14ac:dyDescent="0.3">
      <c r="I105" s="186" t="s">
        <v>836</v>
      </c>
      <c r="J105" s="175">
        <v>563875909.09214354</v>
      </c>
      <c r="K105" s="175">
        <v>24811062.69849325</v>
      </c>
      <c r="L105" s="175">
        <v>40492428.213660277</v>
      </c>
      <c r="M105" s="175">
        <v>15929194.841464842</v>
      </c>
      <c r="O105" s="86" t="s">
        <v>842</v>
      </c>
      <c r="T105" s="86" t="s">
        <v>937</v>
      </c>
      <c r="AD105" s="240" t="s">
        <v>1033</v>
      </c>
      <c r="AE105" s="240"/>
      <c r="AF105" s="240"/>
      <c r="AG105" s="240"/>
      <c r="AH105" s="240"/>
      <c r="AI105" s="240" t="s">
        <v>1034</v>
      </c>
    </row>
    <row r="106" spans="4:38" x14ac:dyDescent="0.3">
      <c r="I106" s="186" t="s">
        <v>837</v>
      </c>
      <c r="J106" s="175">
        <v>557443429.68736696</v>
      </c>
      <c r="K106" s="175">
        <v>24719100.01635085</v>
      </c>
      <c r="L106" s="175">
        <v>39978865.0525731</v>
      </c>
      <c r="M106" s="175">
        <v>15764044.200197067</v>
      </c>
      <c r="O106" s="244" t="s">
        <v>1017</v>
      </c>
      <c r="P106" s="244"/>
      <c r="Q106" s="244"/>
      <c r="R106" s="244"/>
      <c r="T106" s="221" t="s">
        <v>969</v>
      </c>
      <c r="Y106" s="221" t="s">
        <v>968</v>
      </c>
      <c r="AD106" s="221" t="s">
        <v>972</v>
      </c>
      <c r="AI106" s="221" t="s">
        <v>972</v>
      </c>
    </row>
    <row r="107" spans="4:38" x14ac:dyDescent="0.3">
      <c r="H107" s="176" t="s">
        <v>823</v>
      </c>
      <c r="I107" s="238" t="s">
        <v>839</v>
      </c>
      <c r="J107" s="188" t="s">
        <v>828</v>
      </c>
      <c r="K107" s="188" t="s">
        <v>829</v>
      </c>
      <c r="L107" s="188" t="s">
        <v>830</v>
      </c>
      <c r="M107" s="188" t="s">
        <v>831</v>
      </c>
      <c r="N107" s="8"/>
      <c r="O107" s="188" t="s">
        <v>828</v>
      </c>
      <c r="P107" s="188" t="s">
        <v>829</v>
      </c>
      <c r="Q107" s="188" t="s">
        <v>830</v>
      </c>
      <c r="R107" s="188" t="s">
        <v>831</v>
      </c>
      <c r="S107" s="8"/>
      <c r="T107" s="170">
        <f>9511+4633</f>
        <v>14144</v>
      </c>
      <c r="U107" s="170">
        <f>5431+4633</f>
        <v>10064</v>
      </c>
      <c r="V107" s="170">
        <f>7164+4633</f>
        <v>11797</v>
      </c>
      <c r="W107" s="170">
        <f>5002+4633</f>
        <v>9635</v>
      </c>
      <c r="X107" s="8"/>
      <c r="Y107" s="170">
        <f>20921+4633</f>
        <v>25554</v>
      </c>
      <c r="Z107" s="170">
        <f>11947+4633</f>
        <v>16580</v>
      </c>
      <c r="AA107" s="170">
        <f>15759+4633</f>
        <v>20392</v>
      </c>
      <c r="AB107" s="170">
        <f>11004+4633</f>
        <v>15637</v>
      </c>
      <c r="AC107" s="8"/>
      <c r="AD107" s="170">
        <v>672487.23821565975</v>
      </c>
      <c r="AE107" s="170">
        <v>535834.40002352069</v>
      </c>
      <c r="AF107" s="170">
        <v>2153477.9672341105</v>
      </c>
      <c r="AG107" s="170">
        <v>2080299.1152316744</v>
      </c>
      <c r="AI107" s="170">
        <v>457719.39203034574</v>
      </c>
      <c r="AJ107" s="170">
        <v>321066.55383820669</v>
      </c>
      <c r="AK107" s="170">
        <v>772827.52747137798</v>
      </c>
      <c r="AL107" s="170">
        <v>699648.6754689418</v>
      </c>
    </row>
    <row r="108" spans="4:38" x14ac:dyDescent="0.3">
      <c r="H108" s="225"/>
      <c r="I108" s="145" t="s">
        <v>1012</v>
      </c>
      <c r="J108" s="101">
        <f>$C$75*J103</f>
        <v>617566951.86666656</v>
      </c>
      <c r="K108" s="101">
        <f t="shared" ref="K108:M108" si="60">$C$75*K103</f>
        <v>25578662.870971203</v>
      </c>
      <c r="L108" s="101">
        <f t="shared" si="60"/>
        <v>44779071.032738</v>
      </c>
      <c r="M108" s="101">
        <f t="shared" si="60"/>
        <v>17307685.091735002</v>
      </c>
      <c r="N108" s="207"/>
      <c r="O108" s="182">
        <f>E$77-J108</f>
        <v>570764196.55829358</v>
      </c>
      <c r="P108" s="182">
        <f t="shared" ref="P108:R111" si="61">F$77-K108</f>
        <v>21688724.424708799</v>
      </c>
      <c r="Q108" s="182">
        <f t="shared" si="61"/>
        <v>98863779.182781994</v>
      </c>
      <c r="R108" s="182">
        <f t="shared" si="61"/>
        <v>37350114.372665003</v>
      </c>
      <c r="S108" s="207"/>
      <c r="T108" s="182">
        <f>O108-T$107</f>
        <v>570750052.55829358</v>
      </c>
      <c r="U108" s="182">
        <f t="shared" ref="U108:W123" si="62">P108-U$107</f>
        <v>21678660.424708799</v>
      </c>
      <c r="V108" s="182">
        <f t="shared" si="62"/>
        <v>98851982.182781994</v>
      </c>
      <c r="W108" s="182">
        <f t="shared" si="62"/>
        <v>37340479.372665003</v>
      </c>
      <c r="X108" s="207"/>
      <c r="Y108" s="182">
        <f>O108-Y$107</f>
        <v>570738642.55829358</v>
      </c>
      <c r="Z108" s="182">
        <f t="shared" ref="Z108:AB123" si="63">P108-Z$107</f>
        <v>21672144.424708799</v>
      </c>
      <c r="AA108" s="182">
        <f t="shared" si="63"/>
        <v>98843387.182781994</v>
      </c>
      <c r="AB108" s="182">
        <f t="shared" si="63"/>
        <v>37334477.372665003</v>
      </c>
      <c r="AC108" s="207"/>
      <c r="AD108" s="182">
        <f>O108-AD$107</f>
        <v>570091709.3200779</v>
      </c>
      <c r="AE108" s="182">
        <f t="shared" ref="AE108:AG123" si="64">P108-AE$107</f>
        <v>21152890.024685279</v>
      </c>
      <c r="AF108" s="182">
        <f t="shared" si="64"/>
        <v>96710301.215547889</v>
      </c>
      <c r="AG108" s="182">
        <f t="shared" si="64"/>
        <v>35269815.257433325</v>
      </c>
      <c r="AI108" s="182">
        <f>O108-AI$73</f>
        <v>570306477.16626322</v>
      </c>
      <c r="AJ108" s="182">
        <f t="shared" ref="AJ108:AL131" si="65">P108-AJ$73</f>
        <v>21367657.87087059</v>
      </c>
      <c r="AK108" s="182">
        <f t="shared" si="65"/>
        <v>98090951.655310616</v>
      </c>
      <c r="AL108" s="182">
        <f t="shared" si="65"/>
        <v>36650465.697196059</v>
      </c>
    </row>
    <row r="109" spans="4:38" x14ac:dyDescent="0.3">
      <c r="H109" s="222" t="s">
        <v>826</v>
      </c>
      <c r="I109" s="221" t="s">
        <v>835</v>
      </c>
      <c r="J109" s="101">
        <f>$C$75*J70</f>
        <v>583618335.32635522</v>
      </c>
      <c r="K109" s="101">
        <f t="shared" ref="K109:M111" si="66">$C$75*K70</f>
        <v>25093312.567361601</v>
      </c>
      <c r="L109" s="101">
        <f t="shared" si="66"/>
        <v>42068645.125733607</v>
      </c>
      <c r="M109" s="101">
        <f t="shared" si="66"/>
        <v>16436071.606642004</v>
      </c>
      <c r="O109" s="182">
        <f>E$77-J109</f>
        <v>604712813.09860492</v>
      </c>
      <c r="P109" s="182">
        <f t="shared" si="61"/>
        <v>22174074.728318401</v>
      </c>
      <c r="Q109" s="182">
        <f t="shared" si="61"/>
        <v>101574205.08978638</v>
      </c>
      <c r="R109" s="182">
        <f t="shared" si="61"/>
        <v>38221727.857758</v>
      </c>
      <c r="T109" s="182">
        <f>O109-T$107</f>
        <v>604698669.09860492</v>
      </c>
      <c r="U109" s="182">
        <f t="shared" si="62"/>
        <v>22164010.728318401</v>
      </c>
      <c r="V109" s="182">
        <f t="shared" si="62"/>
        <v>101562408.08978638</v>
      </c>
      <c r="W109" s="182">
        <f t="shared" si="62"/>
        <v>38212092.857758</v>
      </c>
      <c r="Y109" s="182">
        <f>O109-Y$107</f>
        <v>604687259.09860492</v>
      </c>
      <c r="Z109" s="182">
        <f t="shared" si="63"/>
        <v>22157494.728318401</v>
      </c>
      <c r="AA109" s="182">
        <f t="shared" si="63"/>
        <v>101553813.08978638</v>
      </c>
      <c r="AB109" s="182">
        <f t="shared" si="63"/>
        <v>38206090.857758</v>
      </c>
      <c r="AD109" s="182">
        <f>O109-AD$107</f>
        <v>604040325.86038923</v>
      </c>
      <c r="AE109" s="182">
        <f t="shared" si="64"/>
        <v>21638240.328294881</v>
      </c>
      <c r="AF109" s="182">
        <f t="shared" si="64"/>
        <v>99420727.122552276</v>
      </c>
      <c r="AG109" s="182">
        <f t="shared" si="64"/>
        <v>36141428.742526323</v>
      </c>
      <c r="AI109" s="182">
        <f t="shared" ref="AI109:AI131" si="67">O109-AI$73</f>
        <v>604255093.70657456</v>
      </c>
      <c r="AJ109" s="182">
        <f t="shared" si="65"/>
        <v>21853008.174480192</v>
      </c>
      <c r="AK109" s="182">
        <f t="shared" si="65"/>
        <v>100801377.562315</v>
      </c>
      <c r="AL109" s="182">
        <f t="shared" si="65"/>
        <v>37522079.182289056</v>
      </c>
    </row>
    <row r="110" spans="4:38" x14ac:dyDescent="0.3">
      <c r="H110" s="222" t="s">
        <v>924</v>
      </c>
      <c r="I110" s="221" t="s">
        <v>836</v>
      </c>
      <c r="J110" s="101">
        <f>$C$75*J71</f>
        <v>563875909.09214354</v>
      </c>
      <c r="K110" s="101">
        <f t="shared" si="66"/>
        <v>24811062.69849325</v>
      </c>
      <c r="L110" s="101">
        <f t="shared" si="66"/>
        <v>40492428.213660277</v>
      </c>
      <c r="M110" s="101">
        <f t="shared" si="66"/>
        <v>15929194.841464842</v>
      </c>
      <c r="O110" s="182">
        <f t="shared" ref="O110:O111" si="68">E$77-J110</f>
        <v>624455239.3328166</v>
      </c>
      <c r="P110" s="182">
        <f t="shared" si="61"/>
        <v>22456324.597186752</v>
      </c>
      <c r="Q110" s="182">
        <f t="shared" si="61"/>
        <v>103150422.00185972</v>
      </c>
      <c r="R110" s="182">
        <f t="shared" si="61"/>
        <v>38728604.622935161</v>
      </c>
      <c r="T110" s="182">
        <f t="shared" ref="T110:W131" si="69">O110-T$107</f>
        <v>624441095.3328166</v>
      </c>
      <c r="U110" s="182">
        <f t="shared" si="62"/>
        <v>22446260.597186752</v>
      </c>
      <c r="V110" s="182">
        <f t="shared" si="62"/>
        <v>103138625.00185972</v>
      </c>
      <c r="W110" s="182">
        <f t="shared" si="62"/>
        <v>38718969.622935161</v>
      </c>
      <c r="Y110" s="182">
        <f t="shared" ref="Y110:AB131" si="70">O110-Y$107</f>
        <v>624429685.3328166</v>
      </c>
      <c r="Z110" s="182">
        <f t="shared" si="63"/>
        <v>22439744.597186752</v>
      </c>
      <c r="AA110" s="182">
        <f t="shared" si="63"/>
        <v>103130030.00185972</v>
      </c>
      <c r="AB110" s="182">
        <f t="shared" si="63"/>
        <v>38712967.622935161</v>
      </c>
      <c r="AD110" s="182">
        <f t="shared" ref="AD110:AG131" si="71">O110-AD$107</f>
        <v>623782752.09460092</v>
      </c>
      <c r="AE110" s="182">
        <f t="shared" si="64"/>
        <v>21920490.197163232</v>
      </c>
      <c r="AF110" s="182">
        <f t="shared" si="64"/>
        <v>100996944.03462562</v>
      </c>
      <c r="AG110" s="182">
        <f t="shared" si="64"/>
        <v>36648305.507703483</v>
      </c>
      <c r="AI110" s="182">
        <f t="shared" si="67"/>
        <v>623997519.94078624</v>
      </c>
      <c r="AJ110" s="182">
        <f t="shared" si="65"/>
        <v>22135258.043348543</v>
      </c>
      <c r="AK110" s="182">
        <f t="shared" si="65"/>
        <v>102377594.47438835</v>
      </c>
      <c r="AL110" s="182">
        <f t="shared" si="65"/>
        <v>38028955.947466217</v>
      </c>
    </row>
    <row r="111" spans="4:38" x14ac:dyDescent="0.3">
      <c r="H111" s="111"/>
      <c r="I111" s="8" t="s">
        <v>837</v>
      </c>
      <c r="J111" s="170">
        <f>$C$75*J72</f>
        <v>557443429.68736696</v>
      </c>
      <c r="K111" s="170">
        <f t="shared" si="66"/>
        <v>24719100.01635085</v>
      </c>
      <c r="L111" s="170">
        <f t="shared" si="66"/>
        <v>39978865.0525731</v>
      </c>
      <c r="M111" s="170">
        <f t="shared" si="66"/>
        <v>15764044.200197067</v>
      </c>
      <c r="N111" s="8"/>
      <c r="O111" s="194">
        <f t="shared" si="68"/>
        <v>630887718.73759317</v>
      </c>
      <c r="P111" s="194">
        <f t="shared" si="61"/>
        <v>22548287.279329151</v>
      </c>
      <c r="Q111" s="194">
        <f t="shared" si="61"/>
        <v>103663985.16294689</v>
      </c>
      <c r="R111" s="194">
        <f t="shared" si="61"/>
        <v>38893755.264202937</v>
      </c>
      <c r="S111" s="8"/>
      <c r="T111" s="194">
        <f t="shared" si="69"/>
        <v>630873574.73759317</v>
      </c>
      <c r="U111" s="194">
        <f t="shared" si="62"/>
        <v>22538223.279329151</v>
      </c>
      <c r="V111" s="194">
        <f t="shared" si="62"/>
        <v>103652188.16294689</v>
      </c>
      <c r="W111" s="194">
        <f t="shared" si="62"/>
        <v>38884120.264202937</v>
      </c>
      <c r="X111" s="8"/>
      <c r="Y111" s="194">
        <f t="shared" si="70"/>
        <v>630862164.73759317</v>
      </c>
      <c r="Z111" s="194">
        <f t="shared" si="63"/>
        <v>22531707.279329151</v>
      </c>
      <c r="AA111" s="194">
        <f t="shared" si="63"/>
        <v>103643593.16294689</v>
      </c>
      <c r="AB111" s="194">
        <f t="shared" si="63"/>
        <v>38878118.264202937</v>
      </c>
      <c r="AC111" s="8"/>
      <c r="AD111" s="194">
        <f t="shared" si="71"/>
        <v>630215231.49937749</v>
      </c>
      <c r="AE111" s="194">
        <f t="shared" si="64"/>
        <v>22012452.879305631</v>
      </c>
      <c r="AF111" s="194">
        <f t="shared" si="64"/>
        <v>101510507.19571279</v>
      </c>
      <c r="AG111" s="194">
        <f t="shared" si="64"/>
        <v>36813456.14897126</v>
      </c>
      <c r="AI111" s="194">
        <f t="shared" si="67"/>
        <v>630429999.34556282</v>
      </c>
      <c r="AJ111" s="194">
        <f t="shared" si="65"/>
        <v>22227220.725490943</v>
      </c>
      <c r="AK111" s="194">
        <f t="shared" si="65"/>
        <v>102891157.63547552</v>
      </c>
      <c r="AL111" s="194">
        <f t="shared" si="65"/>
        <v>38194106.588733993</v>
      </c>
    </row>
    <row r="112" spans="4:38" x14ac:dyDescent="0.3">
      <c r="H112" s="237"/>
      <c r="I112" s="145" t="s">
        <v>1012</v>
      </c>
      <c r="J112" s="101">
        <f>$C$79*J103</f>
        <v>6016337.2450850662</v>
      </c>
      <c r="K112" s="101">
        <f t="shared" ref="K112:M115" si="72">$C$79*K103</f>
        <v>249187.33368900148</v>
      </c>
      <c r="L112" s="101">
        <f t="shared" si="72"/>
        <v>436237.71000093361</v>
      </c>
      <c r="M112" s="101">
        <f t="shared" si="72"/>
        <v>168611.46816368241</v>
      </c>
      <c r="N112" s="207"/>
      <c r="O112" s="182">
        <f>E$81-J112</f>
        <v>5560384.8028708957</v>
      </c>
      <c r="P112" s="195">
        <f t="shared" ref="P112:R115" si="73">F$81-K112</f>
        <v>211291.55334551315</v>
      </c>
      <c r="Q112" s="182">
        <f t="shared" si="73"/>
        <v>963130.93679866218</v>
      </c>
      <c r="R112" s="195">
        <f t="shared" si="73"/>
        <v>363864.81421850249</v>
      </c>
      <c r="S112" s="207"/>
      <c r="T112" s="182">
        <f t="shared" si="69"/>
        <v>5546240.8028708957</v>
      </c>
      <c r="U112" s="195">
        <f t="shared" si="62"/>
        <v>201227.55334551315</v>
      </c>
      <c r="V112" s="182">
        <f t="shared" si="62"/>
        <v>951333.93679866218</v>
      </c>
      <c r="W112" s="195">
        <f t="shared" si="62"/>
        <v>354229.81421850249</v>
      </c>
      <c r="X112" s="207"/>
      <c r="Y112" s="182">
        <f t="shared" si="70"/>
        <v>5534830.8028708957</v>
      </c>
      <c r="Z112" s="195">
        <f t="shared" si="63"/>
        <v>194711.55334551315</v>
      </c>
      <c r="AA112" s="195">
        <f t="shared" si="63"/>
        <v>942738.93679866218</v>
      </c>
      <c r="AB112" s="195">
        <f t="shared" si="63"/>
        <v>348227.81421850249</v>
      </c>
      <c r="AC112" s="207"/>
      <c r="AD112" s="182">
        <f t="shared" si="71"/>
        <v>4887897.564655236</v>
      </c>
      <c r="AE112" s="184">
        <f t="shared" si="64"/>
        <v>-324542.84667800751</v>
      </c>
      <c r="AF112" s="184">
        <f t="shared" si="64"/>
        <v>-1190347.0304354483</v>
      </c>
      <c r="AG112" s="184">
        <f t="shared" si="64"/>
        <v>-1716434.3010131719</v>
      </c>
      <c r="AI112" s="182">
        <f t="shared" si="67"/>
        <v>5102665.4108405504</v>
      </c>
      <c r="AJ112" s="184">
        <f t="shared" si="65"/>
        <v>-109775.00049269354</v>
      </c>
      <c r="AK112" s="195">
        <f t="shared" si="65"/>
        <v>190303.4093272842</v>
      </c>
      <c r="AL112" s="184">
        <f t="shared" si="65"/>
        <v>-335783.86125043931</v>
      </c>
    </row>
    <row r="113" spans="8:38" ht="28.8" x14ac:dyDescent="0.3">
      <c r="H113" s="222" t="s">
        <v>920</v>
      </c>
      <c r="I113" s="221" t="s">
        <v>835</v>
      </c>
      <c r="J113" s="101">
        <f>$C$79*J104</f>
        <v>5685609.822749353</v>
      </c>
      <c r="K113" s="101">
        <f t="shared" si="72"/>
        <v>244459.05103123674</v>
      </c>
      <c r="L113" s="101">
        <f t="shared" si="72"/>
        <v>409832.74081489682</v>
      </c>
      <c r="M113" s="101">
        <f t="shared" si="72"/>
        <v>160120.2095919064</v>
      </c>
      <c r="O113" s="182">
        <f>E$81-J113</f>
        <v>5891112.2252066089</v>
      </c>
      <c r="P113" s="195">
        <f t="shared" si="73"/>
        <v>216019.83600327789</v>
      </c>
      <c r="Q113" s="182">
        <f t="shared" si="73"/>
        <v>989535.90598469903</v>
      </c>
      <c r="R113" s="195">
        <f t="shared" si="73"/>
        <v>372356.07279027847</v>
      </c>
      <c r="T113" s="182">
        <f t="shared" si="69"/>
        <v>5876968.2252066089</v>
      </c>
      <c r="U113" s="195">
        <f t="shared" si="62"/>
        <v>205955.83600327789</v>
      </c>
      <c r="V113" s="182">
        <f t="shared" si="62"/>
        <v>977738.90598469903</v>
      </c>
      <c r="W113" s="195">
        <f t="shared" si="62"/>
        <v>362721.07279027847</v>
      </c>
      <c r="Y113" s="182">
        <f t="shared" si="70"/>
        <v>5865558.2252066089</v>
      </c>
      <c r="Z113" s="195">
        <f t="shared" si="63"/>
        <v>199439.83600327789</v>
      </c>
      <c r="AA113" s="195">
        <f t="shared" si="63"/>
        <v>969143.90598469903</v>
      </c>
      <c r="AB113" s="195">
        <f t="shared" si="63"/>
        <v>356719.07279027847</v>
      </c>
      <c r="AD113" s="182">
        <f t="shared" si="71"/>
        <v>5218624.9869909491</v>
      </c>
      <c r="AE113" s="184">
        <f t="shared" si="64"/>
        <v>-319814.56402024277</v>
      </c>
      <c r="AF113" s="184">
        <f t="shared" si="64"/>
        <v>-1163942.0612494114</v>
      </c>
      <c r="AG113" s="184">
        <f t="shared" si="64"/>
        <v>-1707943.042441396</v>
      </c>
      <c r="AI113" s="182">
        <f t="shared" si="67"/>
        <v>5433392.8331762627</v>
      </c>
      <c r="AJ113" s="184">
        <f t="shared" si="65"/>
        <v>-105046.7178349288</v>
      </c>
      <c r="AK113" s="195">
        <f t="shared" si="65"/>
        <v>216708.37851332105</v>
      </c>
      <c r="AL113" s="184">
        <f t="shared" si="65"/>
        <v>-327292.60267866333</v>
      </c>
    </row>
    <row r="114" spans="8:38" x14ac:dyDescent="0.3">
      <c r="H114" s="222"/>
      <c r="I114" s="221" t="s">
        <v>836</v>
      </c>
      <c r="J114" s="101">
        <f>$C$79*J105</f>
        <v>5493279.1063756626</v>
      </c>
      <c r="K114" s="101">
        <f t="shared" si="72"/>
        <v>241709.37280872127</v>
      </c>
      <c r="L114" s="101">
        <f t="shared" si="72"/>
        <v>394477.23565747845</v>
      </c>
      <c r="M114" s="101">
        <f t="shared" si="72"/>
        <v>155182.21614555051</v>
      </c>
      <c r="O114" s="182">
        <f t="shared" ref="O114:O115" si="74">E$81-J114</f>
        <v>6083442.9415802993</v>
      </c>
      <c r="P114" s="195">
        <f t="shared" si="73"/>
        <v>218769.51422579336</v>
      </c>
      <c r="Q114" s="182">
        <f t="shared" si="73"/>
        <v>1004891.4111421173</v>
      </c>
      <c r="R114" s="195">
        <f t="shared" si="73"/>
        <v>377294.06623663439</v>
      </c>
      <c r="T114" s="182">
        <f t="shared" si="69"/>
        <v>6069298.9415802993</v>
      </c>
      <c r="U114" s="195">
        <f t="shared" si="62"/>
        <v>208705.51422579336</v>
      </c>
      <c r="V114" s="182">
        <f t="shared" si="62"/>
        <v>993094.41114211734</v>
      </c>
      <c r="W114" s="195">
        <f t="shared" si="62"/>
        <v>367659.06623663439</v>
      </c>
      <c r="Y114" s="182">
        <f t="shared" si="70"/>
        <v>6057888.9415802993</v>
      </c>
      <c r="Z114" s="195">
        <f t="shared" si="63"/>
        <v>202189.51422579336</v>
      </c>
      <c r="AA114" s="195">
        <f t="shared" si="63"/>
        <v>984499.41114211734</v>
      </c>
      <c r="AB114" s="195">
        <f t="shared" si="63"/>
        <v>361657.06623663439</v>
      </c>
      <c r="AD114" s="182">
        <f t="shared" si="71"/>
        <v>5410955.7033646395</v>
      </c>
      <c r="AE114" s="184">
        <f t="shared" si="64"/>
        <v>-317064.88579772733</v>
      </c>
      <c r="AF114" s="184">
        <f t="shared" si="64"/>
        <v>-1148586.5560919931</v>
      </c>
      <c r="AG114" s="184">
        <f t="shared" si="64"/>
        <v>-1703005.0489950399</v>
      </c>
      <c r="AI114" s="182">
        <f t="shared" si="67"/>
        <v>5625723.549549954</v>
      </c>
      <c r="AJ114" s="184">
        <f t="shared" si="65"/>
        <v>-102297.03961241333</v>
      </c>
      <c r="AK114" s="195">
        <f t="shared" si="65"/>
        <v>232063.88367073936</v>
      </c>
      <c r="AL114" s="184">
        <f t="shared" si="65"/>
        <v>-322354.60923230741</v>
      </c>
    </row>
    <row r="115" spans="8:38" x14ac:dyDescent="0.3">
      <c r="H115" s="111"/>
      <c r="I115" s="8" t="s">
        <v>837</v>
      </c>
      <c r="J115" s="170">
        <f>$C$79*J106</f>
        <v>5430613.8920143293</v>
      </c>
      <c r="K115" s="170">
        <f t="shared" si="72"/>
        <v>240813.47235929</v>
      </c>
      <c r="L115" s="170">
        <f t="shared" si="72"/>
        <v>389474.10334216716</v>
      </c>
      <c r="M115" s="170">
        <f t="shared" si="72"/>
        <v>153573.31859831983</v>
      </c>
      <c r="N115" s="8"/>
      <c r="O115" s="194">
        <f t="shared" si="74"/>
        <v>6146108.1559416326</v>
      </c>
      <c r="P115" s="196">
        <f t="shared" si="73"/>
        <v>219665.41467522463</v>
      </c>
      <c r="Q115" s="194">
        <f t="shared" si="73"/>
        <v>1009894.5434574287</v>
      </c>
      <c r="R115" s="196">
        <f t="shared" si="73"/>
        <v>378902.96378386504</v>
      </c>
      <c r="S115" s="8"/>
      <c r="T115" s="194">
        <f t="shared" si="69"/>
        <v>6131964.1559416326</v>
      </c>
      <c r="U115" s="196">
        <f t="shared" si="62"/>
        <v>209601.41467522463</v>
      </c>
      <c r="V115" s="194">
        <f t="shared" si="62"/>
        <v>998097.54345742869</v>
      </c>
      <c r="W115" s="196">
        <f t="shared" si="62"/>
        <v>369267.96378386504</v>
      </c>
      <c r="X115" s="8"/>
      <c r="Y115" s="194">
        <f t="shared" si="70"/>
        <v>6120554.1559416326</v>
      </c>
      <c r="Z115" s="196">
        <f t="shared" si="63"/>
        <v>203085.41467522463</v>
      </c>
      <c r="AA115" s="196">
        <f t="shared" si="63"/>
        <v>989502.54345742869</v>
      </c>
      <c r="AB115" s="196">
        <f t="shared" si="63"/>
        <v>363265.96378386504</v>
      </c>
      <c r="AC115" s="8"/>
      <c r="AD115" s="194">
        <f t="shared" si="71"/>
        <v>5473620.9177259728</v>
      </c>
      <c r="AE115" s="197">
        <f t="shared" si="64"/>
        <v>-316168.98534829606</v>
      </c>
      <c r="AF115" s="197">
        <f t="shared" si="64"/>
        <v>-1143583.4237766818</v>
      </c>
      <c r="AG115" s="197">
        <f t="shared" si="64"/>
        <v>-1701396.1514478093</v>
      </c>
      <c r="AI115" s="194">
        <f t="shared" si="67"/>
        <v>5688388.7639112864</v>
      </c>
      <c r="AJ115" s="197">
        <f t="shared" si="65"/>
        <v>-101401.13916298206</v>
      </c>
      <c r="AK115" s="196">
        <f t="shared" si="65"/>
        <v>237067.01598605071</v>
      </c>
      <c r="AL115" s="197">
        <f t="shared" si="65"/>
        <v>-320745.71168507676</v>
      </c>
    </row>
    <row r="116" spans="8:38" x14ac:dyDescent="0.3">
      <c r="H116" s="237"/>
      <c r="I116" s="145" t="s">
        <v>1012</v>
      </c>
      <c r="J116" s="101">
        <f>$C$83*J103</f>
        <v>1459310.707260933</v>
      </c>
      <c r="K116" s="101">
        <f t="shared" ref="K116:M119" si="75">$C$83*K103</f>
        <v>60442.380364104953</v>
      </c>
      <c r="L116" s="101">
        <f t="shared" si="75"/>
        <v>105812.9448503599</v>
      </c>
      <c r="M116" s="101">
        <f t="shared" si="75"/>
        <v>40898.059871769809</v>
      </c>
      <c r="N116" s="207"/>
      <c r="O116" s="182">
        <f>E$85-J116</f>
        <v>1348715.7964672481</v>
      </c>
      <c r="P116" s="183">
        <f t="shared" ref="P116:R119" si="76">F$85-K116</f>
        <v>51250.455815586894</v>
      </c>
      <c r="Q116" s="195">
        <f t="shared" si="76"/>
        <v>233615.11020891389</v>
      </c>
      <c r="R116" s="183">
        <f t="shared" si="76"/>
        <v>88258.320262607391</v>
      </c>
      <c r="S116" s="207"/>
      <c r="T116" s="182">
        <f t="shared" si="69"/>
        <v>1334571.7964672481</v>
      </c>
      <c r="U116" s="183">
        <f t="shared" si="62"/>
        <v>41186.455815586894</v>
      </c>
      <c r="V116" s="195">
        <f t="shared" si="62"/>
        <v>221818.11020891389</v>
      </c>
      <c r="W116" s="183">
        <f t="shared" si="62"/>
        <v>78623.320262607391</v>
      </c>
      <c r="X116" s="207"/>
      <c r="Y116" s="182">
        <f t="shared" si="70"/>
        <v>1323161.7964672481</v>
      </c>
      <c r="Z116" s="183">
        <f t="shared" si="63"/>
        <v>34670.455815586894</v>
      </c>
      <c r="AA116" s="195">
        <f t="shared" si="63"/>
        <v>213223.11020891389</v>
      </c>
      <c r="AB116" s="183">
        <f t="shared" si="63"/>
        <v>72621.320262607391</v>
      </c>
      <c r="AC116" s="207"/>
      <c r="AD116" s="195">
        <f t="shared" si="71"/>
        <v>676228.55825158837</v>
      </c>
      <c r="AE116" s="184">
        <f t="shared" si="64"/>
        <v>-484583.94420793379</v>
      </c>
      <c r="AF116" s="184">
        <f t="shared" si="64"/>
        <v>-1919862.8570251965</v>
      </c>
      <c r="AG116" s="184">
        <f t="shared" si="64"/>
        <v>-1992040.794969067</v>
      </c>
      <c r="AI116" s="182">
        <f t="shared" si="67"/>
        <v>890996.40443690238</v>
      </c>
      <c r="AJ116" s="184">
        <f t="shared" si="65"/>
        <v>-269816.09802261979</v>
      </c>
      <c r="AK116" s="184">
        <f t="shared" si="65"/>
        <v>-539212.41726246406</v>
      </c>
      <c r="AL116" s="184">
        <f t="shared" si="65"/>
        <v>-611390.35520633438</v>
      </c>
    </row>
    <row r="117" spans="8:38" ht="28.8" x14ac:dyDescent="0.3">
      <c r="H117" s="222" t="s">
        <v>921</v>
      </c>
      <c r="I117" s="221" t="s">
        <v>835</v>
      </c>
      <c r="J117" s="101">
        <f>$C$83*J104</f>
        <v>1379090.1263761774</v>
      </c>
      <c r="K117" s="101">
        <f t="shared" si="75"/>
        <v>59295.497596675465</v>
      </c>
      <c r="L117" s="101">
        <f t="shared" si="75"/>
        <v>99408.208432108513</v>
      </c>
      <c r="M117" s="101">
        <f t="shared" si="75"/>
        <v>38838.437206495058</v>
      </c>
      <c r="O117" s="182">
        <f>E$85-J117</f>
        <v>1428936.3773520037</v>
      </c>
      <c r="P117" s="183">
        <f t="shared" si="76"/>
        <v>52397.338583016382</v>
      </c>
      <c r="Q117" s="195">
        <f t="shared" si="76"/>
        <v>240019.84662716527</v>
      </c>
      <c r="R117" s="183">
        <f t="shared" si="76"/>
        <v>90317.942927882148</v>
      </c>
      <c r="T117" s="182">
        <f t="shared" si="69"/>
        <v>1414792.3773520037</v>
      </c>
      <c r="U117" s="183">
        <f t="shared" si="62"/>
        <v>42333.338583016382</v>
      </c>
      <c r="V117" s="195">
        <f t="shared" si="62"/>
        <v>228222.84662716527</v>
      </c>
      <c r="W117" s="183">
        <f t="shared" si="62"/>
        <v>80682.942927882148</v>
      </c>
      <c r="Y117" s="182">
        <f t="shared" si="70"/>
        <v>1403382.3773520037</v>
      </c>
      <c r="Z117" s="183">
        <f t="shared" si="63"/>
        <v>35817.338583016382</v>
      </c>
      <c r="AA117" s="195">
        <f t="shared" si="63"/>
        <v>219627.84662716527</v>
      </c>
      <c r="AB117" s="183">
        <f t="shared" si="63"/>
        <v>74680.942927882148</v>
      </c>
      <c r="AD117" s="195">
        <f t="shared" si="71"/>
        <v>756449.13913634396</v>
      </c>
      <c r="AE117" s="184">
        <f t="shared" si="64"/>
        <v>-483437.06144050433</v>
      </c>
      <c r="AF117" s="184">
        <f t="shared" si="64"/>
        <v>-1913458.1206069451</v>
      </c>
      <c r="AG117" s="184">
        <f t="shared" si="64"/>
        <v>-1989981.1723037923</v>
      </c>
      <c r="AI117" s="182">
        <f t="shared" si="67"/>
        <v>971216.98532165796</v>
      </c>
      <c r="AJ117" s="184">
        <f t="shared" si="65"/>
        <v>-268669.21525519033</v>
      </c>
      <c r="AK117" s="184">
        <f t="shared" si="65"/>
        <v>-532807.68084421265</v>
      </c>
      <c r="AL117" s="184">
        <f t="shared" si="65"/>
        <v>-609330.73254105961</v>
      </c>
    </row>
    <row r="118" spans="8:38" x14ac:dyDescent="0.3">
      <c r="H118" s="222"/>
      <c r="I118" s="221" t="s">
        <v>836</v>
      </c>
      <c r="J118" s="101">
        <f>$C$83*J105</f>
        <v>1332438.7731847353</v>
      </c>
      <c r="K118" s="101">
        <f t="shared" si="75"/>
        <v>58628.541156539548</v>
      </c>
      <c r="L118" s="101">
        <f t="shared" si="75"/>
        <v>95683.607868879233</v>
      </c>
      <c r="M118" s="101">
        <f t="shared" si="75"/>
        <v>37640.687410381419</v>
      </c>
      <c r="O118" s="182">
        <f t="shared" ref="O118:O119" si="77">E$85-J118</f>
        <v>1475587.7305434458</v>
      </c>
      <c r="P118" s="183">
        <f t="shared" si="76"/>
        <v>53064.295023152299</v>
      </c>
      <c r="Q118" s="195">
        <f t="shared" si="76"/>
        <v>243744.44719039457</v>
      </c>
      <c r="R118" s="183">
        <f t="shared" si="76"/>
        <v>91515.692723995788</v>
      </c>
      <c r="T118" s="182">
        <f t="shared" si="69"/>
        <v>1461443.7305434458</v>
      </c>
      <c r="U118" s="183">
        <f t="shared" si="62"/>
        <v>43000.295023152299</v>
      </c>
      <c r="V118" s="195">
        <f t="shared" si="62"/>
        <v>231947.44719039457</v>
      </c>
      <c r="W118" s="183">
        <f t="shared" si="62"/>
        <v>81880.692723995788</v>
      </c>
      <c r="Y118" s="182">
        <f t="shared" si="70"/>
        <v>1450033.7305434458</v>
      </c>
      <c r="Z118" s="183">
        <f t="shared" si="63"/>
        <v>36484.295023152299</v>
      </c>
      <c r="AA118" s="195">
        <f t="shared" si="63"/>
        <v>223352.44719039457</v>
      </c>
      <c r="AB118" s="183">
        <f t="shared" si="63"/>
        <v>75878.692723995788</v>
      </c>
      <c r="AD118" s="195">
        <f t="shared" si="71"/>
        <v>803100.49232778605</v>
      </c>
      <c r="AE118" s="184">
        <f t="shared" si="64"/>
        <v>-482770.10500036838</v>
      </c>
      <c r="AF118" s="184">
        <f t="shared" si="64"/>
        <v>-1909733.5200437158</v>
      </c>
      <c r="AG118" s="184">
        <f t="shared" si="64"/>
        <v>-1988783.4225076786</v>
      </c>
      <c r="AI118" s="182">
        <f t="shared" si="67"/>
        <v>1017868.3385131001</v>
      </c>
      <c r="AJ118" s="184">
        <f t="shared" si="65"/>
        <v>-268002.25881505437</v>
      </c>
      <c r="AK118" s="184">
        <f t="shared" si="65"/>
        <v>-529083.08028098335</v>
      </c>
      <c r="AL118" s="184">
        <f t="shared" si="65"/>
        <v>-608132.98274494603</v>
      </c>
    </row>
    <row r="119" spans="8:38" x14ac:dyDescent="0.3">
      <c r="H119" s="111"/>
      <c r="I119" s="8" t="s">
        <v>837</v>
      </c>
      <c r="J119" s="170">
        <f>$C$83*J106</f>
        <v>1317238.8243512481</v>
      </c>
      <c r="K119" s="170">
        <f t="shared" si="75"/>
        <v>58411.233338637059</v>
      </c>
      <c r="L119" s="170">
        <f t="shared" si="75"/>
        <v>94470.058119230234</v>
      </c>
      <c r="M119" s="170">
        <f t="shared" si="75"/>
        <v>37250.436445065672</v>
      </c>
      <c r="N119" s="8"/>
      <c r="O119" s="194">
        <f t="shared" si="77"/>
        <v>1490787.679376933</v>
      </c>
      <c r="P119" s="193">
        <f t="shared" si="76"/>
        <v>53281.602841054788</v>
      </c>
      <c r="Q119" s="196">
        <f t="shared" si="76"/>
        <v>244957.99694004355</v>
      </c>
      <c r="R119" s="193">
        <f t="shared" si="76"/>
        <v>91905.943689311534</v>
      </c>
      <c r="S119" s="8"/>
      <c r="T119" s="194">
        <f t="shared" si="69"/>
        <v>1476643.679376933</v>
      </c>
      <c r="U119" s="193">
        <f t="shared" si="62"/>
        <v>43217.602841054788</v>
      </c>
      <c r="V119" s="196">
        <f t="shared" si="62"/>
        <v>233160.99694004355</v>
      </c>
      <c r="W119" s="193">
        <f t="shared" si="62"/>
        <v>82270.943689311534</v>
      </c>
      <c r="X119" s="8"/>
      <c r="Y119" s="194">
        <f t="shared" si="70"/>
        <v>1465233.679376933</v>
      </c>
      <c r="Z119" s="193">
        <f t="shared" si="63"/>
        <v>36701.602841054788</v>
      </c>
      <c r="AA119" s="196">
        <f t="shared" si="63"/>
        <v>224565.99694004355</v>
      </c>
      <c r="AB119" s="193">
        <f t="shared" si="63"/>
        <v>76268.943689311534</v>
      </c>
      <c r="AC119" s="8"/>
      <c r="AD119" s="196">
        <f t="shared" si="71"/>
        <v>818300.44116127328</v>
      </c>
      <c r="AE119" s="197">
        <f t="shared" si="64"/>
        <v>-482552.7971824659</v>
      </c>
      <c r="AF119" s="197">
        <f t="shared" si="64"/>
        <v>-1908519.9702940669</v>
      </c>
      <c r="AG119" s="197">
        <f t="shared" si="64"/>
        <v>-1988393.1715423628</v>
      </c>
      <c r="AI119" s="194">
        <f t="shared" si="67"/>
        <v>1033068.2873465873</v>
      </c>
      <c r="AJ119" s="197">
        <f t="shared" si="65"/>
        <v>-267784.9509971519</v>
      </c>
      <c r="AK119" s="197">
        <f t="shared" si="65"/>
        <v>-527869.53053133446</v>
      </c>
      <c r="AL119" s="197">
        <f t="shared" si="65"/>
        <v>-607742.7317796303</v>
      </c>
    </row>
    <row r="120" spans="8:38" x14ac:dyDescent="0.3">
      <c r="H120" s="237"/>
      <c r="I120" s="145" t="s">
        <v>1012</v>
      </c>
      <c r="J120" s="101">
        <f>$C$87*J103</f>
        <v>186505.21946373332</v>
      </c>
      <c r="K120" s="101">
        <f t="shared" ref="K120:M123" si="78">$C$87*K103</f>
        <v>7724.7561870333038</v>
      </c>
      <c r="L120" s="101">
        <f t="shared" si="78"/>
        <v>13523.279451886878</v>
      </c>
      <c r="M120" s="101">
        <f t="shared" si="78"/>
        <v>5226.9208977039707</v>
      </c>
      <c r="N120" s="207"/>
      <c r="O120" s="195">
        <f>E$89-J120</f>
        <v>172370.78736060468</v>
      </c>
      <c r="P120" s="184">
        <f t="shared" ref="P120:R123" si="79">F$89-K120</f>
        <v>6549.9947762620568</v>
      </c>
      <c r="Q120" s="183">
        <f t="shared" si="79"/>
        <v>29856.861313200163</v>
      </c>
      <c r="R120" s="183">
        <f t="shared" si="79"/>
        <v>11279.734540544832</v>
      </c>
      <c r="S120" s="207"/>
      <c r="T120" s="195">
        <f t="shared" si="69"/>
        <v>158226.78736060468</v>
      </c>
      <c r="U120" s="184">
        <f t="shared" si="62"/>
        <v>-3514.0052237379432</v>
      </c>
      <c r="V120" s="183">
        <f t="shared" si="62"/>
        <v>18059.861313200163</v>
      </c>
      <c r="W120" s="184">
        <f t="shared" si="62"/>
        <v>1644.7345405448323</v>
      </c>
      <c r="X120" s="207"/>
      <c r="Y120" s="195">
        <f t="shared" si="70"/>
        <v>146816.78736060468</v>
      </c>
      <c r="Z120" s="184">
        <f t="shared" si="63"/>
        <v>-10030.005223737942</v>
      </c>
      <c r="AA120" s="183">
        <f t="shared" si="63"/>
        <v>9464.8613132001628</v>
      </c>
      <c r="AB120" s="184">
        <f t="shared" si="63"/>
        <v>-4357.2654594551677</v>
      </c>
      <c r="AC120" s="207"/>
      <c r="AD120" s="184">
        <f t="shared" si="71"/>
        <v>-500116.45085505507</v>
      </c>
      <c r="AE120" s="184">
        <f t="shared" si="64"/>
        <v>-529284.4052472586</v>
      </c>
      <c r="AF120" s="184">
        <f t="shared" si="64"/>
        <v>-2123621.1059209104</v>
      </c>
      <c r="AG120" s="184">
        <f t="shared" si="64"/>
        <v>-2069019.3806911295</v>
      </c>
      <c r="AI120" s="184">
        <f t="shared" si="67"/>
        <v>-285348.60466974106</v>
      </c>
      <c r="AJ120" s="184">
        <f t="shared" si="65"/>
        <v>-314516.55906194466</v>
      </c>
      <c r="AK120" s="184">
        <f t="shared" si="65"/>
        <v>-742970.66615817777</v>
      </c>
      <c r="AL120" s="184">
        <f t="shared" si="65"/>
        <v>-688368.940928397</v>
      </c>
    </row>
    <row r="121" spans="8:38" ht="28.8" x14ac:dyDescent="0.3">
      <c r="H121" s="222" t="s">
        <v>922</v>
      </c>
      <c r="I121" s="221" t="s">
        <v>835</v>
      </c>
      <c r="J121" s="101">
        <f>$C$87*J104</f>
        <v>176252.73726855929</v>
      </c>
      <c r="K121" s="101">
        <f t="shared" si="78"/>
        <v>7578.1803953432036</v>
      </c>
      <c r="L121" s="101">
        <f t="shared" si="78"/>
        <v>12704.730827971551</v>
      </c>
      <c r="M121" s="101">
        <f t="shared" si="78"/>
        <v>4963.6936252058858</v>
      </c>
      <c r="O121" s="195">
        <f>E$89-J121</f>
        <v>182623.26955577871</v>
      </c>
      <c r="P121" s="184">
        <f t="shared" si="79"/>
        <v>6696.570567952157</v>
      </c>
      <c r="Q121" s="183">
        <f t="shared" si="79"/>
        <v>30675.409937115488</v>
      </c>
      <c r="R121" s="183">
        <f t="shared" si="79"/>
        <v>11542.961813042917</v>
      </c>
      <c r="T121" s="195">
        <f t="shared" si="69"/>
        <v>168479.26955577871</v>
      </c>
      <c r="U121" s="184">
        <f t="shared" si="62"/>
        <v>-3367.429432047843</v>
      </c>
      <c r="V121" s="183">
        <f t="shared" si="62"/>
        <v>18878.409937115488</v>
      </c>
      <c r="W121" s="184">
        <f t="shared" si="62"/>
        <v>1907.9618130429171</v>
      </c>
      <c r="Y121" s="195">
        <f t="shared" si="70"/>
        <v>157069.26955577871</v>
      </c>
      <c r="Z121" s="184">
        <f t="shared" si="63"/>
        <v>-9883.4294320478439</v>
      </c>
      <c r="AA121" s="183">
        <f t="shared" si="63"/>
        <v>10283.409937115488</v>
      </c>
      <c r="AB121" s="184">
        <f t="shared" si="63"/>
        <v>-4094.0381869570829</v>
      </c>
      <c r="AD121" s="184">
        <f t="shared" si="71"/>
        <v>-489863.96865988104</v>
      </c>
      <c r="AE121" s="184">
        <f t="shared" si="64"/>
        <v>-529137.82945556857</v>
      </c>
      <c r="AF121" s="184">
        <f t="shared" si="64"/>
        <v>-2122802.5572969951</v>
      </c>
      <c r="AG121" s="184">
        <f t="shared" si="64"/>
        <v>-2068756.1534186315</v>
      </c>
      <c r="AI121" s="184">
        <f t="shared" si="67"/>
        <v>-275096.12247456703</v>
      </c>
      <c r="AJ121" s="184">
        <f t="shared" si="65"/>
        <v>-314369.98327025451</v>
      </c>
      <c r="AK121" s="184">
        <f t="shared" si="65"/>
        <v>-742152.11753426248</v>
      </c>
      <c r="AL121" s="184">
        <f t="shared" si="65"/>
        <v>-688105.71365589893</v>
      </c>
    </row>
    <row r="122" spans="8:38" x14ac:dyDescent="0.3">
      <c r="H122" s="222"/>
      <c r="I122" s="221" t="s">
        <v>836</v>
      </c>
      <c r="J122" s="101">
        <f>$C$87*J105</f>
        <v>170290.52454582736</v>
      </c>
      <c r="K122" s="101">
        <f t="shared" si="78"/>
        <v>7492.9409349449616</v>
      </c>
      <c r="L122" s="101">
        <f t="shared" si="78"/>
        <v>12228.713320525405</v>
      </c>
      <c r="M122" s="101">
        <f t="shared" si="78"/>
        <v>4810.6168421223829</v>
      </c>
      <c r="O122" s="195">
        <f t="shared" ref="O122:O123" si="80">E$89-J122</f>
        <v>188585.48227851064</v>
      </c>
      <c r="P122" s="184">
        <f t="shared" si="79"/>
        <v>6781.8100283503991</v>
      </c>
      <c r="Q122" s="183">
        <f t="shared" si="79"/>
        <v>31151.427444561632</v>
      </c>
      <c r="R122" s="183">
        <f t="shared" si="79"/>
        <v>11696.03859612642</v>
      </c>
      <c r="T122" s="195">
        <f t="shared" si="69"/>
        <v>174441.48227851064</v>
      </c>
      <c r="U122" s="184">
        <f t="shared" si="62"/>
        <v>-3282.1899716496009</v>
      </c>
      <c r="V122" s="183">
        <f t="shared" si="62"/>
        <v>19354.427444561632</v>
      </c>
      <c r="W122" s="184">
        <f t="shared" si="62"/>
        <v>2061.0385961264201</v>
      </c>
      <c r="Y122" s="195">
        <f t="shared" si="70"/>
        <v>163031.48227851064</v>
      </c>
      <c r="Z122" s="184">
        <f t="shared" si="63"/>
        <v>-9798.1899716496009</v>
      </c>
      <c r="AA122" s="183">
        <f t="shared" si="63"/>
        <v>10759.427444561632</v>
      </c>
      <c r="AB122" s="184">
        <f t="shared" si="63"/>
        <v>-3940.9614038735799</v>
      </c>
      <c r="AD122" s="184">
        <f t="shared" si="71"/>
        <v>-483901.75593714911</v>
      </c>
      <c r="AE122" s="184">
        <f t="shared" si="64"/>
        <v>-529052.58999517024</v>
      </c>
      <c r="AF122" s="184">
        <f t="shared" si="64"/>
        <v>-2122326.5397895486</v>
      </c>
      <c r="AG122" s="184">
        <f t="shared" si="64"/>
        <v>-2068603.0766355479</v>
      </c>
      <c r="AI122" s="184">
        <f t="shared" si="67"/>
        <v>-269133.9097518351</v>
      </c>
      <c r="AJ122" s="184">
        <f t="shared" si="65"/>
        <v>-314284.7438098563</v>
      </c>
      <c r="AK122" s="184">
        <f t="shared" si="65"/>
        <v>-741676.10002681636</v>
      </c>
      <c r="AL122" s="184">
        <f t="shared" si="65"/>
        <v>-687952.63687281543</v>
      </c>
    </row>
    <row r="123" spans="8:38" x14ac:dyDescent="0.3">
      <c r="H123" s="111"/>
      <c r="I123" s="8" t="s">
        <v>837</v>
      </c>
      <c r="J123" s="170">
        <f>$C$87*J106</f>
        <v>168347.91576558482</v>
      </c>
      <c r="K123" s="170">
        <f t="shared" si="78"/>
        <v>7465.1682049379569</v>
      </c>
      <c r="L123" s="170">
        <f t="shared" si="78"/>
        <v>12073.617245877076</v>
      </c>
      <c r="M123" s="170">
        <f t="shared" si="78"/>
        <v>4760.7413484595145</v>
      </c>
      <c r="N123" s="8"/>
      <c r="O123" s="196">
        <f t="shared" si="80"/>
        <v>190528.09105875317</v>
      </c>
      <c r="P123" s="197">
        <f t="shared" si="79"/>
        <v>6809.5827583574037</v>
      </c>
      <c r="Q123" s="193">
        <f t="shared" si="79"/>
        <v>31306.523519209964</v>
      </c>
      <c r="R123" s="193">
        <f t="shared" si="79"/>
        <v>11745.914089789288</v>
      </c>
      <c r="S123" s="8"/>
      <c r="T123" s="196">
        <f t="shared" si="69"/>
        <v>176384.09105875317</v>
      </c>
      <c r="U123" s="197">
        <f t="shared" si="62"/>
        <v>-3254.4172416425963</v>
      </c>
      <c r="V123" s="193">
        <f t="shared" si="62"/>
        <v>19509.523519209964</v>
      </c>
      <c r="W123" s="197">
        <f t="shared" si="62"/>
        <v>2110.9140897892885</v>
      </c>
      <c r="X123" s="8"/>
      <c r="Y123" s="196">
        <f t="shared" si="70"/>
        <v>164974.09105875317</v>
      </c>
      <c r="Z123" s="197">
        <f t="shared" si="63"/>
        <v>-9770.4172416425972</v>
      </c>
      <c r="AA123" s="193">
        <f t="shared" si="63"/>
        <v>10914.523519209964</v>
      </c>
      <c r="AB123" s="197">
        <f t="shared" si="63"/>
        <v>-3891.0859102107115</v>
      </c>
      <c r="AC123" s="8"/>
      <c r="AD123" s="197">
        <f t="shared" si="71"/>
        <v>-481959.14715690655</v>
      </c>
      <c r="AE123" s="197">
        <f t="shared" si="64"/>
        <v>-529024.81726516329</v>
      </c>
      <c r="AF123" s="197">
        <f t="shared" si="64"/>
        <v>-2122171.4437149004</v>
      </c>
      <c r="AG123" s="197">
        <f t="shared" si="64"/>
        <v>-2068553.201141885</v>
      </c>
      <c r="AI123" s="197">
        <f t="shared" si="67"/>
        <v>-267191.30097159254</v>
      </c>
      <c r="AJ123" s="197">
        <f t="shared" si="65"/>
        <v>-314256.97107984929</v>
      </c>
      <c r="AK123" s="197">
        <f t="shared" si="65"/>
        <v>-741521.00395216804</v>
      </c>
      <c r="AL123" s="197">
        <f t="shared" si="65"/>
        <v>-687902.76137915254</v>
      </c>
    </row>
    <row r="124" spans="8:38" x14ac:dyDescent="0.3">
      <c r="H124" s="237"/>
      <c r="I124" s="145" t="s">
        <v>1012</v>
      </c>
      <c r="J124" s="101">
        <f>$C$91*J103</f>
        <v>13586.472941066664</v>
      </c>
      <c r="K124" s="101">
        <f t="shared" ref="K124:M127" si="81">$C$91*K103</f>
        <v>562.73058316136644</v>
      </c>
      <c r="L124" s="101">
        <f t="shared" si="81"/>
        <v>985.13956272023597</v>
      </c>
      <c r="M124" s="101">
        <f t="shared" si="81"/>
        <v>380.76907201817005</v>
      </c>
      <c r="N124" s="207"/>
      <c r="O124" s="183">
        <f>E$93-J124</f>
        <v>12556.812324282457</v>
      </c>
      <c r="P124" s="184">
        <f t="shared" ref="P124:R127" si="82">F$93-K124</f>
        <v>477.15193734359354</v>
      </c>
      <c r="Q124" s="184">
        <f t="shared" si="82"/>
        <v>2175.003142021204</v>
      </c>
      <c r="R124" s="184">
        <f t="shared" si="82"/>
        <v>821.70251619862995</v>
      </c>
      <c r="S124" s="207"/>
      <c r="T124" s="184">
        <f t="shared" si="69"/>
        <v>-1587.1876757175432</v>
      </c>
      <c r="U124" s="184">
        <f t="shared" si="69"/>
        <v>-9586.8480626564069</v>
      </c>
      <c r="V124" s="184">
        <f t="shared" si="69"/>
        <v>-9621.9968579787965</v>
      </c>
      <c r="W124" s="184">
        <f t="shared" si="69"/>
        <v>-8813.2974838013706</v>
      </c>
      <c r="X124" s="207"/>
      <c r="Y124" s="184">
        <f t="shared" si="70"/>
        <v>-12997.187675717543</v>
      </c>
      <c r="Z124" s="184">
        <f t="shared" si="70"/>
        <v>-16102.848062656407</v>
      </c>
      <c r="AA124" s="184">
        <f t="shared" si="70"/>
        <v>-18216.996857978796</v>
      </c>
      <c r="AB124" s="184">
        <f t="shared" si="70"/>
        <v>-14815.297483801371</v>
      </c>
      <c r="AC124" s="207"/>
      <c r="AD124" s="184">
        <f t="shared" si="71"/>
        <v>-659930.42589137726</v>
      </c>
      <c r="AE124" s="184">
        <f t="shared" si="71"/>
        <v>-535357.24808617705</v>
      </c>
      <c r="AF124" s="184">
        <f t="shared" si="71"/>
        <v>-2151302.9640920893</v>
      </c>
      <c r="AG124" s="184">
        <f t="shared" si="71"/>
        <v>-2079477.4127154758</v>
      </c>
      <c r="AI124" s="184">
        <f t="shared" si="67"/>
        <v>-445162.57970606326</v>
      </c>
      <c r="AJ124" s="184">
        <f t="shared" si="65"/>
        <v>-320589.4019008631</v>
      </c>
      <c r="AK124" s="184">
        <f t="shared" si="65"/>
        <v>-770652.52432935673</v>
      </c>
      <c r="AL124" s="184">
        <f t="shared" si="65"/>
        <v>-698826.97295274318</v>
      </c>
    </row>
    <row r="125" spans="8:38" ht="28.8" x14ac:dyDescent="0.3">
      <c r="H125" s="222" t="s">
        <v>923</v>
      </c>
      <c r="I125" s="221" t="s">
        <v>835</v>
      </c>
      <c r="J125" s="101">
        <f>$C$91*J104</f>
        <v>12839.603377179814</v>
      </c>
      <c r="K125" s="101">
        <f t="shared" si="81"/>
        <v>552.0528764819552</v>
      </c>
      <c r="L125" s="101">
        <f t="shared" si="81"/>
        <v>925.51019276613931</v>
      </c>
      <c r="M125" s="101">
        <f t="shared" si="81"/>
        <v>361.59357534612406</v>
      </c>
      <c r="O125" s="183">
        <f>E$93-J125</f>
        <v>13303.681888169307</v>
      </c>
      <c r="P125" s="184">
        <f t="shared" si="82"/>
        <v>487.82964402300479</v>
      </c>
      <c r="Q125" s="184">
        <f t="shared" si="82"/>
        <v>2234.6325119753005</v>
      </c>
      <c r="R125" s="184">
        <f t="shared" si="82"/>
        <v>840.878012870676</v>
      </c>
      <c r="T125" s="184">
        <f t="shared" si="69"/>
        <v>-840.31811183069294</v>
      </c>
      <c r="U125" s="184">
        <f t="shared" si="69"/>
        <v>-9576.1703559769958</v>
      </c>
      <c r="V125" s="184">
        <f t="shared" si="69"/>
        <v>-9562.3674880246999</v>
      </c>
      <c r="W125" s="184">
        <f t="shared" si="69"/>
        <v>-8794.1219871293233</v>
      </c>
      <c r="Y125" s="184">
        <f t="shared" si="70"/>
        <v>-12250.318111830693</v>
      </c>
      <c r="Z125" s="184">
        <f t="shared" si="70"/>
        <v>-16092.170355976996</v>
      </c>
      <c r="AA125" s="184">
        <f t="shared" si="70"/>
        <v>-18157.367488024698</v>
      </c>
      <c r="AB125" s="184">
        <f t="shared" si="70"/>
        <v>-14796.121987129323</v>
      </c>
      <c r="AD125" s="184">
        <f t="shared" si="71"/>
        <v>-659183.55632749049</v>
      </c>
      <c r="AE125" s="184">
        <f t="shared" si="71"/>
        <v>-535346.57037949772</v>
      </c>
      <c r="AF125" s="184">
        <f t="shared" si="71"/>
        <v>-2151243.3347221352</v>
      </c>
      <c r="AG125" s="184">
        <f t="shared" si="71"/>
        <v>-2079458.2372188037</v>
      </c>
      <c r="AI125" s="184">
        <f t="shared" si="67"/>
        <v>-444415.71014217642</v>
      </c>
      <c r="AJ125" s="184">
        <f t="shared" si="65"/>
        <v>-320578.72419418365</v>
      </c>
      <c r="AK125" s="184">
        <f t="shared" si="65"/>
        <v>-770592.89495940274</v>
      </c>
      <c r="AL125" s="184">
        <f t="shared" si="65"/>
        <v>-698807.79745607113</v>
      </c>
    </row>
    <row r="126" spans="8:38" x14ac:dyDescent="0.3">
      <c r="H126" s="222"/>
      <c r="I126" s="221" t="s">
        <v>836</v>
      </c>
      <c r="J126" s="101">
        <f>$C$91*J105</f>
        <v>12405.270000027158</v>
      </c>
      <c r="K126" s="101">
        <f t="shared" si="81"/>
        <v>545.84337936685142</v>
      </c>
      <c r="L126" s="101">
        <f t="shared" si="81"/>
        <v>890.83342070052606</v>
      </c>
      <c r="M126" s="101">
        <f t="shared" si="81"/>
        <v>350.44228651222653</v>
      </c>
      <c r="O126" s="183">
        <f t="shared" ref="O126:O127" si="83">E$93-J126</f>
        <v>13738.015265321963</v>
      </c>
      <c r="P126" s="184">
        <f t="shared" si="82"/>
        <v>494.03914113810856</v>
      </c>
      <c r="Q126" s="184">
        <f t="shared" si="82"/>
        <v>2269.309284040914</v>
      </c>
      <c r="R126" s="184">
        <f t="shared" si="82"/>
        <v>852.02930170457353</v>
      </c>
      <c r="T126" s="184">
        <f t="shared" si="69"/>
        <v>-405.98473467803706</v>
      </c>
      <c r="U126" s="184">
        <f t="shared" si="69"/>
        <v>-9569.9608588618921</v>
      </c>
      <c r="V126" s="184">
        <f t="shared" si="69"/>
        <v>-9527.6907159590864</v>
      </c>
      <c r="W126" s="184">
        <f t="shared" si="69"/>
        <v>-8782.9706982954267</v>
      </c>
      <c r="Y126" s="184">
        <f t="shared" si="70"/>
        <v>-11815.984734678037</v>
      </c>
      <c r="Z126" s="184">
        <f t="shared" si="70"/>
        <v>-16085.960858861892</v>
      </c>
      <c r="AA126" s="184">
        <f t="shared" si="70"/>
        <v>-18122.690715959085</v>
      </c>
      <c r="AB126" s="184">
        <f t="shared" si="70"/>
        <v>-14784.970698295427</v>
      </c>
      <c r="AD126" s="184">
        <f t="shared" si="71"/>
        <v>-658749.2229503378</v>
      </c>
      <c r="AE126" s="184">
        <f t="shared" si="71"/>
        <v>-535340.36088238261</v>
      </c>
      <c r="AF126" s="184">
        <f t="shared" si="71"/>
        <v>-2151208.6579500698</v>
      </c>
      <c r="AG126" s="184">
        <f t="shared" si="71"/>
        <v>-2079447.0859299698</v>
      </c>
      <c r="AI126" s="184">
        <f t="shared" si="67"/>
        <v>-443981.3767650238</v>
      </c>
      <c r="AJ126" s="184">
        <f t="shared" si="65"/>
        <v>-320572.5146970686</v>
      </c>
      <c r="AK126" s="184">
        <f t="shared" si="65"/>
        <v>-770558.21818733704</v>
      </c>
      <c r="AL126" s="184">
        <f t="shared" si="65"/>
        <v>-698796.6461672372</v>
      </c>
    </row>
    <row r="127" spans="8:38" x14ac:dyDescent="0.3">
      <c r="H127" s="111"/>
      <c r="I127" s="8" t="s">
        <v>837</v>
      </c>
      <c r="J127" s="170">
        <f>$C$91*J106</f>
        <v>12263.755453122072</v>
      </c>
      <c r="K127" s="170">
        <f t="shared" si="81"/>
        <v>543.82020035971868</v>
      </c>
      <c r="L127" s="170">
        <f t="shared" si="81"/>
        <v>879.53503115660817</v>
      </c>
      <c r="M127" s="170">
        <f t="shared" si="81"/>
        <v>346.80897240433546</v>
      </c>
      <c r="N127" s="8"/>
      <c r="O127" s="193">
        <f t="shared" si="83"/>
        <v>13879.529812227049</v>
      </c>
      <c r="P127" s="197">
        <f t="shared" si="82"/>
        <v>496.0623201452413</v>
      </c>
      <c r="Q127" s="197">
        <f t="shared" si="82"/>
        <v>2280.6076735848319</v>
      </c>
      <c r="R127" s="197">
        <f t="shared" si="82"/>
        <v>855.66261581246454</v>
      </c>
      <c r="S127" s="8"/>
      <c r="T127" s="197">
        <f t="shared" si="69"/>
        <v>-264.47018777295125</v>
      </c>
      <c r="U127" s="197">
        <f t="shared" si="69"/>
        <v>-9567.9376798547582</v>
      </c>
      <c r="V127" s="197">
        <f t="shared" si="69"/>
        <v>-9516.3923264151672</v>
      </c>
      <c r="W127" s="197">
        <f t="shared" si="69"/>
        <v>-8779.3373841875364</v>
      </c>
      <c r="X127" s="8"/>
      <c r="Y127" s="197">
        <f t="shared" si="70"/>
        <v>-11674.470187772951</v>
      </c>
      <c r="Z127" s="197">
        <f t="shared" si="70"/>
        <v>-16083.937679854758</v>
      </c>
      <c r="AA127" s="197">
        <f t="shared" si="70"/>
        <v>-18111.392326415167</v>
      </c>
      <c r="AB127" s="197">
        <f t="shared" si="70"/>
        <v>-14781.337384187536</v>
      </c>
      <c r="AC127" s="8"/>
      <c r="AD127" s="197">
        <f t="shared" si="71"/>
        <v>-658607.70840343274</v>
      </c>
      <c r="AE127" s="197">
        <f t="shared" si="71"/>
        <v>-535338.3377033755</v>
      </c>
      <c r="AF127" s="197">
        <f t="shared" si="71"/>
        <v>-2151197.3595605255</v>
      </c>
      <c r="AG127" s="197">
        <f t="shared" si="71"/>
        <v>-2079443.452615862</v>
      </c>
      <c r="AI127" s="197">
        <f t="shared" si="67"/>
        <v>-443839.86221811868</v>
      </c>
      <c r="AJ127" s="197">
        <f t="shared" si="65"/>
        <v>-320570.49151806143</v>
      </c>
      <c r="AK127" s="197">
        <f t="shared" si="65"/>
        <v>-770546.91979779315</v>
      </c>
      <c r="AL127" s="197">
        <f t="shared" si="65"/>
        <v>-698793.0128531293</v>
      </c>
    </row>
    <row r="128" spans="8:38" x14ac:dyDescent="0.3">
      <c r="H128" s="237"/>
      <c r="I128" s="145" t="s">
        <v>1012</v>
      </c>
      <c r="J128" s="101">
        <f>$C$95*J103</f>
        <v>1852.7008555999996</v>
      </c>
      <c r="K128" s="101">
        <f t="shared" ref="K128:M131" si="84">$C$95*K103</f>
        <v>76.735988612913616</v>
      </c>
      <c r="L128" s="101">
        <f t="shared" si="84"/>
        <v>134.33721309821399</v>
      </c>
      <c r="M128" s="101">
        <f t="shared" si="84"/>
        <v>51.923055275205009</v>
      </c>
      <c r="N128" s="207"/>
      <c r="O128" s="184">
        <f>E$97-J128</f>
        <v>1712.2925896748807</v>
      </c>
      <c r="P128" s="184">
        <f t="shared" ref="P128:R131" si="85">F$97-K128</f>
        <v>65.066173274126385</v>
      </c>
      <c r="Q128" s="184">
        <f t="shared" si="85"/>
        <v>296.59133754834602</v>
      </c>
      <c r="R128" s="184">
        <f t="shared" si="85"/>
        <v>112.050343117995</v>
      </c>
      <c r="S128" s="207"/>
      <c r="T128" s="184">
        <f t="shared" si="69"/>
        <v>-12431.70741032512</v>
      </c>
      <c r="U128" s="184">
        <f t="shared" si="69"/>
        <v>-9998.9338267258736</v>
      </c>
      <c r="V128" s="184">
        <f t="shared" si="69"/>
        <v>-11500.408662451653</v>
      </c>
      <c r="W128" s="184">
        <f t="shared" si="69"/>
        <v>-9522.949656882005</v>
      </c>
      <c r="X128" s="207"/>
      <c r="Y128" s="184">
        <f t="shared" si="70"/>
        <v>-23841.707410325118</v>
      </c>
      <c r="Z128" s="184">
        <f t="shared" si="70"/>
        <v>-16514.933826725875</v>
      </c>
      <c r="AA128" s="184">
        <f t="shared" si="70"/>
        <v>-20095.408662451653</v>
      </c>
      <c r="AB128" s="184">
        <f t="shared" si="70"/>
        <v>-15524.949656882005</v>
      </c>
      <c r="AC128" s="207"/>
      <c r="AD128" s="184">
        <f t="shared" si="71"/>
        <v>-670774.94562598481</v>
      </c>
      <c r="AE128" s="184">
        <f t="shared" si="71"/>
        <v>-535769.33385024662</v>
      </c>
      <c r="AF128" s="184">
        <f t="shared" si="71"/>
        <v>-2153181.3758965619</v>
      </c>
      <c r="AG128" s="184">
        <f t="shared" si="71"/>
        <v>-2080187.0648885565</v>
      </c>
      <c r="AI128" s="184">
        <f t="shared" si="67"/>
        <v>-456007.09944067086</v>
      </c>
      <c r="AJ128" s="184">
        <f t="shared" si="65"/>
        <v>-321001.48766493256</v>
      </c>
      <c r="AK128" s="184">
        <f t="shared" si="65"/>
        <v>-772530.93613382964</v>
      </c>
      <c r="AL128" s="184">
        <f t="shared" si="65"/>
        <v>-699536.62512582378</v>
      </c>
    </row>
    <row r="129" spans="8:38" x14ac:dyDescent="0.3">
      <c r="H129" s="222" t="s">
        <v>827</v>
      </c>
      <c r="I129" s="221" t="s">
        <v>835</v>
      </c>
      <c r="J129" s="101">
        <f>$C$95*J104</f>
        <v>1750.8550059790657</v>
      </c>
      <c r="K129" s="101">
        <f t="shared" si="84"/>
        <v>75.279937702084808</v>
      </c>
      <c r="L129" s="101">
        <f t="shared" si="84"/>
        <v>126.20593537720082</v>
      </c>
      <c r="M129" s="101">
        <f t="shared" si="84"/>
        <v>49.308214819926015</v>
      </c>
      <c r="O129" s="184">
        <f>E$97-J129</f>
        <v>1814.1384392958146</v>
      </c>
      <c r="P129" s="184">
        <f t="shared" si="85"/>
        <v>66.522224184955192</v>
      </c>
      <c r="Q129" s="184">
        <f t="shared" si="85"/>
        <v>304.72261526935915</v>
      </c>
      <c r="R129" s="184">
        <f t="shared" si="85"/>
        <v>114.66518357327399</v>
      </c>
      <c r="T129" s="184">
        <f t="shared" si="69"/>
        <v>-12329.861560704185</v>
      </c>
      <c r="U129" s="184">
        <f t="shared" si="69"/>
        <v>-9997.4777758150449</v>
      </c>
      <c r="V129" s="184">
        <f t="shared" si="69"/>
        <v>-11492.277384730642</v>
      </c>
      <c r="W129" s="184">
        <f t="shared" si="69"/>
        <v>-9520.3348164267263</v>
      </c>
      <c r="Y129" s="184">
        <f t="shared" si="70"/>
        <v>-23739.861560704187</v>
      </c>
      <c r="Z129" s="184">
        <f t="shared" si="70"/>
        <v>-16513.477775815045</v>
      </c>
      <c r="AA129" s="184">
        <f t="shared" si="70"/>
        <v>-20087.277384730642</v>
      </c>
      <c r="AB129" s="184">
        <f t="shared" si="70"/>
        <v>-15522.334816426726</v>
      </c>
      <c r="AD129" s="184">
        <f t="shared" si="71"/>
        <v>-670673.09977636393</v>
      </c>
      <c r="AE129" s="184">
        <f t="shared" si="71"/>
        <v>-535767.87779933575</v>
      </c>
      <c r="AF129" s="184">
        <f t="shared" si="71"/>
        <v>-2153173.244618841</v>
      </c>
      <c r="AG129" s="184">
        <f t="shared" si="71"/>
        <v>-2080184.4500481011</v>
      </c>
      <c r="AI129" s="184">
        <f t="shared" si="67"/>
        <v>-455905.25359104993</v>
      </c>
      <c r="AJ129" s="184">
        <f t="shared" si="65"/>
        <v>-321000.03161402175</v>
      </c>
      <c r="AK129" s="184">
        <f t="shared" si="65"/>
        <v>-772522.80485610862</v>
      </c>
      <c r="AL129" s="184">
        <f t="shared" si="65"/>
        <v>-699534.01028536854</v>
      </c>
    </row>
    <row r="130" spans="8:38" x14ac:dyDescent="0.3">
      <c r="H130" s="221" t="s">
        <v>925</v>
      </c>
      <c r="I130" s="221" t="s">
        <v>836</v>
      </c>
      <c r="J130" s="101">
        <f>$C$95*J105</f>
        <v>1691.6277272764307</v>
      </c>
      <c r="K130" s="101">
        <f t="shared" si="84"/>
        <v>74.43318809547975</v>
      </c>
      <c r="L130" s="101">
        <f t="shared" si="84"/>
        <v>121.47728464098084</v>
      </c>
      <c r="M130" s="101">
        <f t="shared" si="84"/>
        <v>47.787584524394525</v>
      </c>
      <c r="O130" s="184">
        <f t="shared" ref="O130:O131" si="86">E$97-J130</f>
        <v>1873.3657179984496</v>
      </c>
      <c r="P130" s="184">
        <f t="shared" si="85"/>
        <v>67.368973791560251</v>
      </c>
      <c r="Q130" s="184">
        <f t="shared" si="85"/>
        <v>309.45126600557916</v>
      </c>
      <c r="R130" s="184">
        <f t="shared" si="85"/>
        <v>116.18581386880547</v>
      </c>
      <c r="T130" s="184">
        <f t="shared" si="69"/>
        <v>-12270.634282001551</v>
      </c>
      <c r="U130" s="184">
        <f t="shared" si="69"/>
        <v>-9996.6310262084389</v>
      </c>
      <c r="V130" s="184">
        <f t="shared" si="69"/>
        <v>-11487.548733994421</v>
      </c>
      <c r="W130" s="184">
        <f t="shared" si="69"/>
        <v>-9518.8141861311942</v>
      </c>
      <c r="Y130" s="184">
        <f t="shared" si="70"/>
        <v>-23680.634282001549</v>
      </c>
      <c r="Z130" s="184">
        <f t="shared" si="70"/>
        <v>-16512.631026208441</v>
      </c>
      <c r="AA130" s="184">
        <f t="shared" si="70"/>
        <v>-20082.548733994419</v>
      </c>
      <c r="AB130" s="184">
        <f t="shared" si="70"/>
        <v>-15520.814186131194</v>
      </c>
      <c r="AD130" s="184">
        <f t="shared" si="71"/>
        <v>-670613.87249766127</v>
      </c>
      <c r="AE130" s="184">
        <f t="shared" si="71"/>
        <v>-535767.03104972909</v>
      </c>
      <c r="AF130" s="184">
        <f t="shared" si="71"/>
        <v>-2153168.5159681048</v>
      </c>
      <c r="AG130" s="184">
        <f t="shared" si="71"/>
        <v>-2080182.9294178055</v>
      </c>
      <c r="AI130" s="184">
        <f t="shared" si="67"/>
        <v>-455846.02631234727</v>
      </c>
      <c r="AJ130" s="184">
        <f t="shared" si="65"/>
        <v>-320999.18486441515</v>
      </c>
      <c r="AK130" s="184">
        <f t="shared" si="65"/>
        <v>-772518.07620537234</v>
      </c>
      <c r="AL130" s="184">
        <f t="shared" si="65"/>
        <v>-699532.48965507303</v>
      </c>
    </row>
    <row r="131" spans="8:38" x14ac:dyDescent="0.3">
      <c r="H131" s="8"/>
      <c r="I131" s="8" t="s">
        <v>837</v>
      </c>
      <c r="J131" s="170">
        <f>$C$95*J106</f>
        <v>1672.330289062101</v>
      </c>
      <c r="K131" s="170">
        <f t="shared" si="84"/>
        <v>74.157300049052552</v>
      </c>
      <c r="L131" s="170">
        <f t="shared" si="84"/>
        <v>119.9365951577193</v>
      </c>
      <c r="M131" s="170">
        <f t="shared" si="84"/>
        <v>47.292132600591202</v>
      </c>
      <c r="N131" s="8"/>
      <c r="O131" s="197">
        <f t="shared" si="86"/>
        <v>1892.6631562127793</v>
      </c>
      <c r="P131" s="197">
        <f t="shared" si="85"/>
        <v>67.644861837987449</v>
      </c>
      <c r="Q131" s="197">
        <f t="shared" si="85"/>
        <v>310.99195548884069</v>
      </c>
      <c r="R131" s="197">
        <f t="shared" si="85"/>
        <v>116.6812657926088</v>
      </c>
      <c r="S131" s="8"/>
      <c r="T131" s="197">
        <f t="shared" si="69"/>
        <v>-12251.336843787221</v>
      </c>
      <c r="U131" s="197">
        <f t="shared" si="69"/>
        <v>-9996.3551381620127</v>
      </c>
      <c r="V131" s="197">
        <f t="shared" si="69"/>
        <v>-11486.00804451116</v>
      </c>
      <c r="W131" s="197">
        <f t="shared" si="69"/>
        <v>-9518.3187342073907</v>
      </c>
      <c r="X131" s="8"/>
      <c r="Y131" s="197">
        <f t="shared" si="70"/>
        <v>-23661.33684378722</v>
      </c>
      <c r="Z131" s="197">
        <f t="shared" si="70"/>
        <v>-16512.355138162013</v>
      </c>
      <c r="AA131" s="197">
        <f t="shared" si="70"/>
        <v>-20081.00804451116</v>
      </c>
      <c r="AB131" s="197">
        <f t="shared" si="70"/>
        <v>-15520.318734207391</v>
      </c>
      <c r="AC131" s="8"/>
      <c r="AD131" s="197">
        <f t="shared" si="71"/>
        <v>-670594.57505944697</v>
      </c>
      <c r="AE131" s="197">
        <f t="shared" si="71"/>
        <v>-535766.75516168273</v>
      </c>
      <c r="AF131" s="197">
        <f t="shared" si="71"/>
        <v>-2153166.9752786215</v>
      </c>
      <c r="AG131" s="197">
        <f t="shared" si="71"/>
        <v>-2080182.4339658818</v>
      </c>
      <c r="AI131" s="197">
        <f t="shared" si="67"/>
        <v>-455826.72887413297</v>
      </c>
      <c r="AJ131" s="197">
        <f t="shared" si="65"/>
        <v>-320998.90897636872</v>
      </c>
      <c r="AK131" s="197">
        <f t="shared" si="65"/>
        <v>-772516.53551588918</v>
      </c>
      <c r="AL131" s="197">
        <f t="shared" si="65"/>
        <v>-699531.99420314922</v>
      </c>
    </row>
    <row r="133" spans="8:38" x14ac:dyDescent="0.3">
      <c r="M133" s="1" t="s">
        <v>845</v>
      </c>
      <c r="N133" s="1" t="s">
        <v>1015</v>
      </c>
      <c r="O133" s="1">
        <v>0.82175966061650163</v>
      </c>
      <c r="P133" s="1">
        <v>0.23400501674625077</v>
      </c>
      <c r="Q133" s="1">
        <v>3.3967781684466063E-2</v>
      </c>
      <c r="R133" s="1">
        <v>2.1507553327277328E-3</v>
      </c>
    </row>
    <row r="134" spans="8:38" x14ac:dyDescent="0.3">
      <c r="N134" s="1" t="s">
        <v>807</v>
      </c>
      <c r="O134" s="1">
        <v>0.82898676767886292</v>
      </c>
      <c r="P134" s="1">
        <v>0.24472461650849359</v>
      </c>
      <c r="Q134" s="1">
        <v>3.5315535047658449E-2</v>
      </c>
      <c r="R134" s="1">
        <v>2.2081724843025117E-3</v>
      </c>
    </row>
    <row r="135" spans="8:38" x14ac:dyDescent="0.3">
      <c r="N135" s="1" t="s">
        <v>808</v>
      </c>
      <c r="O135" s="1">
        <v>0.83282824558968505</v>
      </c>
      <c r="P135" s="1">
        <v>0.25074539080683583</v>
      </c>
      <c r="Q135" s="1">
        <v>3.6066734160260183E-2</v>
      </c>
      <c r="R135" s="1">
        <v>2.2403742861362135E-3</v>
      </c>
    </row>
    <row r="136" spans="8:38" x14ac:dyDescent="0.3">
      <c r="N136" s="1" t="s">
        <v>809</v>
      </c>
      <c r="O136" s="1">
        <v>0.8340279474112765</v>
      </c>
      <c r="P136" s="1">
        <v>0.25267452382764999</v>
      </c>
      <c r="Q136" s="1">
        <v>3.6306555860946874E-2</v>
      </c>
      <c r="R136" s="1">
        <v>2.2506849942438732E-3</v>
      </c>
    </row>
    <row r="137" spans="8:38" x14ac:dyDescent="0.3">
      <c r="M137" s="1" t="s">
        <v>1016</v>
      </c>
      <c r="N137" s="1" t="s">
        <v>1015</v>
      </c>
      <c r="O137" s="1">
        <v>3.2076892196285692E-2</v>
      </c>
      <c r="P137" s="1">
        <v>4.3774086659443878E-2</v>
      </c>
      <c r="Q137" s="1">
        <v>0.16084318034819164</v>
      </c>
      <c r="R137" s="1">
        <v>6.1035680968848927E-2</v>
      </c>
    </row>
    <row r="138" spans="8:38" x14ac:dyDescent="0.3">
      <c r="N138" s="1" t="s">
        <v>807</v>
      </c>
      <c r="O138" s="1">
        <v>3.2463930594437231E-2</v>
      </c>
      <c r="P138" s="1">
        <v>4.5833921209891867E-2</v>
      </c>
      <c r="Q138" s="1">
        <v>0.16453402392100516</v>
      </c>
      <c r="R138" s="1">
        <v>6.3129346192292615E-2</v>
      </c>
    </row>
    <row r="139" spans="8:38" x14ac:dyDescent="0.3">
      <c r="N139" s="1" t="s">
        <v>808</v>
      </c>
      <c r="O139" s="1">
        <v>3.2669655989717779E-2</v>
      </c>
      <c r="P139" s="1">
        <v>4.6990848632113058E-2</v>
      </c>
      <c r="Q139" s="1">
        <v>0.1665911943888139</v>
      </c>
      <c r="R139" s="1">
        <v>6.4303556176283916E-2</v>
      </c>
    </row>
    <row r="140" spans="8:38" x14ac:dyDescent="0.3">
      <c r="N140" s="1" t="s">
        <v>809</v>
      </c>
      <c r="O140" s="1">
        <v>3.2733904473555314E-2</v>
      </c>
      <c r="P140" s="1">
        <v>4.7361542961828554E-2</v>
      </c>
      <c r="Q140" s="1">
        <v>0.16724794985073616</v>
      </c>
      <c r="R140" s="1">
        <v>6.4679526951601327E-2</v>
      </c>
    </row>
    <row r="141" spans="8:38" x14ac:dyDescent="0.3">
      <c r="M141" s="1" t="s">
        <v>847</v>
      </c>
      <c r="N141" s="1" t="s">
        <v>1015</v>
      </c>
      <c r="O141" s="1">
        <v>0.14616344718721264</v>
      </c>
      <c r="P141" s="1">
        <v>0.72222089659430544</v>
      </c>
      <c r="Q141" s="1">
        <v>0.80518903796734231</v>
      </c>
      <c r="R141" s="1">
        <v>0.93681356369842328</v>
      </c>
    </row>
    <row r="142" spans="8:38" x14ac:dyDescent="0.3">
      <c r="N142" s="1" t="s">
        <v>807</v>
      </c>
      <c r="O142" s="1">
        <v>0.13854930172669977</v>
      </c>
      <c r="P142" s="1">
        <v>0.70944146228161453</v>
      </c>
      <c r="Q142" s="1">
        <v>0.80015044103133637</v>
      </c>
      <c r="R142" s="1">
        <v>0.9346624813234049</v>
      </c>
    </row>
    <row r="143" spans="8:38" x14ac:dyDescent="0.3">
      <c r="N143" s="1" t="s">
        <v>808</v>
      </c>
      <c r="O143" s="1">
        <v>0.13450209842059707</v>
      </c>
      <c r="P143" s="1">
        <v>0.70226376056105122</v>
      </c>
      <c r="Q143" s="1">
        <v>0.79734207145092584</v>
      </c>
      <c r="R143" s="1">
        <v>0.93345606953757998</v>
      </c>
    </row>
    <row r="144" spans="8:38" x14ac:dyDescent="0.3">
      <c r="N144" s="1" t="s">
        <v>809</v>
      </c>
      <c r="O144" s="1">
        <v>0.13323814811516824</v>
      </c>
      <c r="P144" s="1">
        <v>0.69996393321052142</v>
      </c>
      <c r="Q144" s="1">
        <v>0.79644549428831701</v>
      </c>
      <c r="R144" s="1">
        <v>0.93306978805415475</v>
      </c>
    </row>
    <row r="146" spans="13:33" x14ac:dyDescent="0.3">
      <c r="N146" s="1" t="s">
        <v>857</v>
      </c>
      <c r="T146" s="221" t="s">
        <v>969</v>
      </c>
      <c r="Y146" s="221" t="s">
        <v>968</v>
      </c>
      <c r="AD146" s="221" t="s">
        <v>971</v>
      </c>
    </row>
    <row r="147" spans="13:33" x14ac:dyDescent="0.3">
      <c r="M147" s="176" t="s">
        <v>823</v>
      </c>
      <c r="O147" s="188" t="s">
        <v>828</v>
      </c>
      <c r="P147" s="188" t="s">
        <v>829</v>
      </c>
      <c r="Q147" s="188" t="s">
        <v>830</v>
      </c>
      <c r="R147" s="188" t="s">
        <v>831</v>
      </c>
      <c r="T147" s="170">
        <f>9511+4633</f>
        <v>14144</v>
      </c>
      <c r="U147" s="170">
        <f>5431+4633</f>
        <v>10064</v>
      </c>
      <c r="V147" s="170">
        <f>7164+4633</f>
        <v>11797</v>
      </c>
      <c r="W147" s="170">
        <f>5002+4633</f>
        <v>9635</v>
      </c>
      <c r="X147" s="8"/>
      <c r="Y147" s="170">
        <f>20921+4633</f>
        <v>25554</v>
      </c>
      <c r="Z147" s="170">
        <f>11947+4633</f>
        <v>16580</v>
      </c>
      <c r="AA147" s="170">
        <f>15759+4633</f>
        <v>20392</v>
      </c>
      <c r="AB147" s="170">
        <f>11004+4633</f>
        <v>15637</v>
      </c>
      <c r="AC147" s="8"/>
      <c r="AD147" s="170">
        <f>Y147*15</f>
        <v>383310</v>
      </c>
      <c r="AE147" s="170">
        <f>Z147*15</f>
        <v>248700</v>
      </c>
      <c r="AF147" s="170">
        <f>AA147*15</f>
        <v>305880</v>
      </c>
      <c r="AG147" s="170">
        <f>AB147*15</f>
        <v>234555</v>
      </c>
    </row>
    <row r="148" spans="13:33" x14ac:dyDescent="0.3">
      <c r="M148" s="225"/>
      <c r="O148" s="182">
        <f>O108*O133</f>
        <v>469030992.45579356</v>
      </c>
      <c r="P148" s="182">
        <f t="shared" ref="P148:R148" si="87">P108*P133</f>
        <v>5075270.3222088004</v>
      </c>
      <c r="Q148" s="182">
        <f t="shared" si="87"/>
        <v>3358183.2677819994</v>
      </c>
      <c r="R148" s="195">
        <f t="shared" si="87"/>
        <v>80330.957664999994</v>
      </c>
      <c r="T148" s="182">
        <f>O148-T$147</f>
        <v>469016848.45579356</v>
      </c>
      <c r="U148" s="182">
        <f t="shared" ref="U148:W163" si="88">P148-U$147</f>
        <v>5065206.3222088004</v>
      </c>
      <c r="V148" s="182">
        <f t="shared" si="88"/>
        <v>3346386.2677819994</v>
      </c>
      <c r="W148" s="183">
        <f t="shared" si="88"/>
        <v>70695.957664999994</v>
      </c>
      <c r="Y148" s="182">
        <f>O148-Y$147</f>
        <v>469005438.45579356</v>
      </c>
      <c r="Z148" s="182">
        <f t="shared" ref="Z148:AB163" si="89">P148-Z$147</f>
        <v>5058690.3222088004</v>
      </c>
      <c r="AA148" s="182">
        <f t="shared" si="89"/>
        <v>3337791.2677819994</v>
      </c>
      <c r="AB148" s="183">
        <f t="shared" si="89"/>
        <v>64693.957664999994</v>
      </c>
      <c r="AC148" s="207"/>
      <c r="AD148" s="182">
        <f>O148-AD$147</f>
        <v>468647682.45579356</v>
      </c>
      <c r="AE148" s="182">
        <f t="shared" ref="AE148:AG163" si="90">P148-AE$147</f>
        <v>4826570.3222088004</v>
      </c>
      <c r="AF148" s="182">
        <f t="shared" si="90"/>
        <v>3052303.2677819994</v>
      </c>
      <c r="AG148" s="184">
        <f t="shared" si="90"/>
        <v>-154224.04233500001</v>
      </c>
    </row>
    <row r="149" spans="13:33" x14ac:dyDescent="0.3">
      <c r="M149" s="222" t="s">
        <v>826</v>
      </c>
      <c r="O149" s="182">
        <f t="shared" ref="O149:R151" si="91">O109*O134</f>
        <v>501298920.30460483</v>
      </c>
      <c r="P149" s="182">
        <f t="shared" si="91"/>
        <v>5426541.9343184</v>
      </c>
      <c r="Q149" s="182">
        <f t="shared" si="91"/>
        <v>3587147.3997863983</v>
      </c>
      <c r="R149" s="195">
        <f t="shared" si="91"/>
        <v>84400.167758000011</v>
      </c>
      <c r="T149" s="182">
        <f>O149-T$147</f>
        <v>501284776.30460483</v>
      </c>
      <c r="U149" s="182">
        <f t="shared" si="88"/>
        <v>5416477.9343184</v>
      </c>
      <c r="V149" s="182">
        <f t="shared" si="88"/>
        <v>3575350.3997863983</v>
      </c>
      <c r="W149" s="183">
        <f t="shared" si="88"/>
        <v>74765.167758000011</v>
      </c>
      <c r="Y149" s="182">
        <f>O149-Y$147</f>
        <v>501273366.30460483</v>
      </c>
      <c r="Z149" s="182">
        <f t="shared" si="89"/>
        <v>5409961.9343184</v>
      </c>
      <c r="AA149" s="182">
        <f t="shared" si="89"/>
        <v>3566755.3997863983</v>
      </c>
      <c r="AB149" s="183">
        <f t="shared" si="89"/>
        <v>68763.167758000011</v>
      </c>
      <c r="AD149" s="182">
        <f>O149-AD$147</f>
        <v>500915610.30460483</v>
      </c>
      <c r="AE149" s="182">
        <f t="shared" si="90"/>
        <v>5177841.9343184</v>
      </c>
      <c r="AF149" s="182">
        <f t="shared" si="90"/>
        <v>3281267.3997863983</v>
      </c>
      <c r="AG149" s="184">
        <f t="shared" si="90"/>
        <v>-150154.83224199997</v>
      </c>
    </row>
    <row r="150" spans="13:33" x14ac:dyDescent="0.3">
      <c r="M150" s="222" t="s">
        <v>924</v>
      </c>
      <c r="O150" s="182">
        <f t="shared" si="91"/>
        <v>520063961.42283654</v>
      </c>
      <c r="P150" s="182">
        <f t="shared" si="91"/>
        <v>5630819.8872067519</v>
      </c>
      <c r="Q150" s="182">
        <f t="shared" si="91"/>
        <v>3720298.8488597278</v>
      </c>
      <c r="R150" s="195">
        <f t="shared" si="91"/>
        <v>86766.56993516002</v>
      </c>
      <c r="T150" s="182">
        <f t="shared" ref="T150:W171" si="92">O150-T$147</f>
        <v>520049817.42283654</v>
      </c>
      <c r="U150" s="182">
        <f t="shared" si="88"/>
        <v>5620755.8872067519</v>
      </c>
      <c r="V150" s="182">
        <f t="shared" si="88"/>
        <v>3708501.8488597278</v>
      </c>
      <c r="W150" s="183">
        <f t="shared" si="88"/>
        <v>77131.56993516002</v>
      </c>
      <c r="Y150" s="182">
        <f t="shared" ref="Y150:AB171" si="93">O150-Y$147</f>
        <v>520038407.42283654</v>
      </c>
      <c r="Z150" s="182">
        <f t="shared" si="89"/>
        <v>5614239.8872067519</v>
      </c>
      <c r="AA150" s="182">
        <f t="shared" si="89"/>
        <v>3699906.8488597278</v>
      </c>
      <c r="AB150" s="183">
        <f t="shared" si="89"/>
        <v>71129.56993516002</v>
      </c>
      <c r="AD150" s="182">
        <f t="shared" ref="AD150:AG171" si="94">O150-AD$147</f>
        <v>519680651.42283654</v>
      </c>
      <c r="AE150" s="182">
        <f t="shared" si="90"/>
        <v>5382119.8872067519</v>
      </c>
      <c r="AF150" s="182">
        <f t="shared" si="90"/>
        <v>3414418.8488597278</v>
      </c>
      <c r="AG150" s="184">
        <f t="shared" si="90"/>
        <v>-147788.43006483998</v>
      </c>
    </row>
    <row r="151" spans="13:33" x14ac:dyDescent="0.3">
      <c r="M151" s="111"/>
      <c r="N151" s="8"/>
      <c r="O151" s="194">
        <f t="shared" si="91"/>
        <v>526177989.10569757</v>
      </c>
      <c r="P151" s="194">
        <f t="shared" si="91"/>
        <v>5697377.7514335504</v>
      </c>
      <c r="Q151" s="194">
        <f t="shared" si="91"/>
        <v>3763682.2680868995</v>
      </c>
      <c r="R151" s="196">
        <f t="shared" si="91"/>
        <v>87537.591342935208</v>
      </c>
      <c r="T151" s="194">
        <f t="shared" si="92"/>
        <v>526163845.10569757</v>
      </c>
      <c r="U151" s="194">
        <f t="shared" si="88"/>
        <v>5687313.7514335504</v>
      </c>
      <c r="V151" s="194">
        <f t="shared" si="88"/>
        <v>3751885.2680868995</v>
      </c>
      <c r="W151" s="193">
        <f t="shared" si="88"/>
        <v>77902.591342935208</v>
      </c>
      <c r="Y151" s="194">
        <f t="shared" si="93"/>
        <v>526152435.10569757</v>
      </c>
      <c r="Z151" s="194">
        <f t="shared" si="89"/>
        <v>5680797.7514335504</v>
      </c>
      <c r="AA151" s="194">
        <f t="shared" si="89"/>
        <v>3743290.2680868995</v>
      </c>
      <c r="AB151" s="193">
        <f t="shared" si="89"/>
        <v>71900.591342935208</v>
      </c>
      <c r="AC151" s="8"/>
      <c r="AD151" s="194">
        <f t="shared" si="94"/>
        <v>525794679.10569757</v>
      </c>
      <c r="AE151" s="194">
        <f t="shared" si="90"/>
        <v>5448677.7514335504</v>
      </c>
      <c r="AF151" s="194">
        <f t="shared" si="90"/>
        <v>3457802.2680868995</v>
      </c>
      <c r="AG151" s="197">
        <f t="shared" si="90"/>
        <v>-147017.40865706478</v>
      </c>
    </row>
    <row r="152" spans="13:33" x14ac:dyDescent="0.3">
      <c r="M152" s="237"/>
      <c r="N152" s="207"/>
      <c r="O152" s="182">
        <f>O112*O133</f>
        <v>4569299.9285043404</v>
      </c>
      <c r="P152" s="183">
        <f t="shared" ref="P152:R152" si="95">P112*P133</f>
        <v>49443.283478958139</v>
      </c>
      <c r="Q152" s="183">
        <f t="shared" si="95"/>
        <v>32715.421394732239</v>
      </c>
      <c r="R152" s="184">
        <f t="shared" si="95"/>
        <v>782.58418957242998</v>
      </c>
      <c r="T152" s="182">
        <f t="shared" si="92"/>
        <v>4555155.9285043404</v>
      </c>
      <c r="U152" s="183">
        <f t="shared" si="88"/>
        <v>39379.283478958139</v>
      </c>
      <c r="V152" s="183">
        <f t="shared" si="88"/>
        <v>20918.421394732239</v>
      </c>
      <c r="W152" s="184">
        <f t="shared" si="88"/>
        <v>-8852.4158104275702</v>
      </c>
      <c r="Y152" s="182">
        <f t="shared" si="93"/>
        <v>4543745.9285043404</v>
      </c>
      <c r="Z152" s="183">
        <f t="shared" si="89"/>
        <v>32863.283478958139</v>
      </c>
      <c r="AA152" s="183">
        <f t="shared" si="89"/>
        <v>12323.421394732239</v>
      </c>
      <c r="AB152" s="184">
        <f t="shared" si="89"/>
        <v>-14854.41581042757</v>
      </c>
      <c r="AC152" s="207"/>
      <c r="AD152" s="182">
        <f t="shared" si="94"/>
        <v>4185989.9285043404</v>
      </c>
      <c r="AE152" s="184">
        <f t="shared" si="90"/>
        <v>-199256.71652104188</v>
      </c>
      <c r="AF152" s="184">
        <f t="shared" si="90"/>
        <v>-273164.57860526774</v>
      </c>
      <c r="AG152" s="184">
        <f t="shared" si="90"/>
        <v>-233772.41581042757</v>
      </c>
    </row>
    <row r="153" spans="13:33" ht="28.8" x14ac:dyDescent="0.3">
      <c r="M153" s="222" t="s">
        <v>920</v>
      </c>
      <c r="O153" s="182">
        <f t="shared" ref="O153:R155" si="96">O113*O134</f>
        <v>4883654.08160746</v>
      </c>
      <c r="P153" s="183">
        <f t="shared" si="96"/>
        <v>52865.371524129856</v>
      </c>
      <c r="Q153" s="183">
        <f t="shared" si="96"/>
        <v>34945.989968719092</v>
      </c>
      <c r="R153" s="184">
        <f t="shared" si="96"/>
        <v>822.22643429843606</v>
      </c>
      <c r="T153" s="182">
        <f t="shared" si="92"/>
        <v>4869510.08160746</v>
      </c>
      <c r="U153" s="183">
        <f t="shared" si="88"/>
        <v>42801.371524129856</v>
      </c>
      <c r="V153" s="183">
        <f t="shared" si="88"/>
        <v>23148.989968719092</v>
      </c>
      <c r="W153" s="184">
        <f t="shared" si="88"/>
        <v>-8812.7735657015637</v>
      </c>
      <c r="Y153" s="182">
        <f t="shared" si="93"/>
        <v>4858100.08160746</v>
      </c>
      <c r="Z153" s="183">
        <f t="shared" si="89"/>
        <v>36285.371524129856</v>
      </c>
      <c r="AA153" s="183">
        <f t="shared" si="89"/>
        <v>14553.989968719092</v>
      </c>
      <c r="AB153" s="184">
        <f t="shared" si="89"/>
        <v>-14814.773565701564</v>
      </c>
      <c r="AD153" s="182">
        <f t="shared" si="94"/>
        <v>4500344.08160746</v>
      </c>
      <c r="AE153" s="184">
        <f t="shared" si="90"/>
        <v>-195834.62847587015</v>
      </c>
      <c r="AF153" s="184">
        <f t="shared" si="90"/>
        <v>-270934.01003128092</v>
      </c>
      <c r="AG153" s="184">
        <f t="shared" si="90"/>
        <v>-233732.77356570156</v>
      </c>
    </row>
    <row r="154" spans="13:33" x14ac:dyDescent="0.3">
      <c r="M154" s="222"/>
      <c r="O154" s="182">
        <f t="shared" si="96"/>
        <v>5066463.1121812733</v>
      </c>
      <c r="P154" s="183">
        <f t="shared" si="96"/>
        <v>54855.44734116819</v>
      </c>
      <c r="Q154" s="183">
        <f t="shared" si="96"/>
        <v>36243.151385591467</v>
      </c>
      <c r="R154" s="184">
        <f t="shared" si="96"/>
        <v>845.27992430832899</v>
      </c>
      <c r="T154" s="182">
        <f t="shared" si="92"/>
        <v>5052319.1121812733</v>
      </c>
      <c r="U154" s="183">
        <f t="shared" si="88"/>
        <v>44791.44734116819</v>
      </c>
      <c r="V154" s="183">
        <f t="shared" si="88"/>
        <v>24446.151385591467</v>
      </c>
      <c r="W154" s="184">
        <f t="shared" si="88"/>
        <v>-8789.7200756916718</v>
      </c>
      <c r="Y154" s="182">
        <f t="shared" si="93"/>
        <v>5040909.1121812733</v>
      </c>
      <c r="Z154" s="183">
        <f t="shared" si="89"/>
        <v>38275.44734116819</v>
      </c>
      <c r="AA154" s="183">
        <f t="shared" si="89"/>
        <v>15851.151385591467</v>
      </c>
      <c r="AB154" s="184">
        <f t="shared" si="89"/>
        <v>-14791.720075691672</v>
      </c>
      <c r="AD154" s="182">
        <f t="shared" si="94"/>
        <v>4683153.1121812733</v>
      </c>
      <c r="AE154" s="184">
        <f t="shared" si="90"/>
        <v>-193844.55265883182</v>
      </c>
      <c r="AF154" s="184">
        <f t="shared" si="90"/>
        <v>-269636.84861440852</v>
      </c>
      <c r="AG154" s="184">
        <f t="shared" si="90"/>
        <v>-233709.72007569167</v>
      </c>
    </row>
    <row r="155" spans="13:33" x14ac:dyDescent="0.3">
      <c r="M155" s="111"/>
      <c r="N155" s="8"/>
      <c r="O155" s="194">
        <f t="shared" si="96"/>
        <v>5126025.9698677054</v>
      </c>
      <c r="P155" s="193">
        <f t="shared" si="96"/>
        <v>55503.854054465664</v>
      </c>
      <c r="Q155" s="193">
        <f t="shared" si="96"/>
        <v>36665.792655702571</v>
      </c>
      <c r="R155" s="197">
        <f t="shared" si="96"/>
        <v>852.79121486287477</v>
      </c>
      <c r="T155" s="194">
        <f t="shared" si="92"/>
        <v>5111881.9698677054</v>
      </c>
      <c r="U155" s="193">
        <f t="shared" si="88"/>
        <v>45439.854054465664</v>
      </c>
      <c r="V155" s="193">
        <f t="shared" si="88"/>
        <v>24868.792655702571</v>
      </c>
      <c r="W155" s="197">
        <f t="shared" si="88"/>
        <v>-8782.2087851371252</v>
      </c>
      <c r="Y155" s="194">
        <f t="shared" si="93"/>
        <v>5100471.9698677054</v>
      </c>
      <c r="Z155" s="193">
        <f t="shared" si="89"/>
        <v>38923.854054465664</v>
      </c>
      <c r="AA155" s="193">
        <f t="shared" si="89"/>
        <v>16273.792655702571</v>
      </c>
      <c r="AB155" s="197">
        <f t="shared" si="89"/>
        <v>-14784.208785137125</v>
      </c>
      <c r="AC155" s="8"/>
      <c r="AD155" s="194">
        <f t="shared" si="94"/>
        <v>4742715.9698677054</v>
      </c>
      <c r="AE155" s="197">
        <f t="shared" si="90"/>
        <v>-193196.14594553434</v>
      </c>
      <c r="AF155" s="197">
        <f t="shared" si="90"/>
        <v>-269214.20734429744</v>
      </c>
      <c r="AG155" s="197">
        <f t="shared" si="90"/>
        <v>-233702.20878513713</v>
      </c>
    </row>
    <row r="156" spans="13:33" x14ac:dyDescent="0.3">
      <c r="M156" s="237"/>
      <c r="N156" s="207"/>
      <c r="O156" s="182">
        <f>O116*O133</f>
        <v>1108320.2351730405</v>
      </c>
      <c r="P156" s="183">
        <f t="shared" ref="P156:R156" si="97">P116*P133</f>
        <v>11992.863771379396</v>
      </c>
      <c r="Q156" s="184">
        <f t="shared" si="97"/>
        <v>7935.3870617688663</v>
      </c>
      <c r="R156" s="184">
        <f t="shared" si="97"/>
        <v>189.82205296239496</v>
      </c>
      <c r="T156" s="182">
        <f t="shared" si="92"/>
        <v>1094176.2351730405</v>
      </c>
      <c r="U156" s="184">
        <f t="shared" si="88"/>
        <v>1928.863771379396</v>
      </c>
      <c r="V156" s="184">
        <f t="shared" si="88"/>
        <v>-3861.6129382311337</v>
      </c>
      <c r="W156" s="184">
        <f t="shared" si="88"/>
        <v>-9445.1779470376059</v>
      </c>
      <c r="Y156" s="182">
        <f t="shared" si="93"/>
        <v>1082766.2351730405</v>
      </c>
      <c r="Z156" s="184">
        <f t="shared" si="89"/>
        <v>-4587.136228620604</v>
      </c>
      <c r="AA156" s="184">
        <f t="shared" si="89"/>
        <v>-12456.612938231134</v>
      </c>
      <c r="AB156" s="184">
        <f t="shared" si="89"/>
        <v>-15447.177947037606</v>
      </c>
      <c r="AC156" s="207"/>
      <c r="AD156" s="195">
        <f t="shared" si="94"/>
        <v>725010.23517304054</v>
      </c>
      <c r="AE156" s="184">
        <f t="shared" si="90"/>
        <v>-236707.1362286206</v>
      </c>
      <c r="AF156" s="184">
        <f t="shared" si="90"/>
        <v>-297944.61293823115</v>
      </c>
      <c r="AG156" s="184">
        <f t="shared" si="90"/>
        <v>-234365.17794703759</v>
      </c>
    </row>
    <row r="157" spans="13:33" ht="28.8" x14ac:dyDescent="0.3">
      <c r="M157" s="222" t="s">
        <v>921</v>
      </c>
      <c r="O157" s="182">
        <f t="shared" ref="O157:R159" si="98">O117*O134</f>
        <v>1184569.3486797814</v>
      </c>
      <c r="P157" s="183">
        <f t="shared" si="98"/>
        <v>12822.918590794379</v>
      </c>
      <c r="Q157" s="184">
        <f t="shared" si="98"/>
        <v>8476.4293056952611</v>
      </c>
      <c r="R157" s="184">
        <f t="shared" si="98"/>
        <v>199.43759641215399</v>
      </c>
      <c r="T157" s="182">
        <f t="shared" si="92"/>
        <v>1170425.3486797814</v>
      </c>
      <c r="U157" s="184">
        <f t="shared" si="88"/>
        <v>2758.9185907943793</v>
      </c>
      <c r="V157" s="184">
        <f t="shared" si="88"/>
        <v>-3320.5706943047389</v>
      </c>
      <c r="W157" s="184">
        <f t="shared" si="88"/>
        <v>-9435.5624035878463</v>
      </c>
      <c r="Y157" s="182">
        <f t="shared" si="93"/>
        <v>1159015.3486797814</v>
      </c>
      <c r="Z157" s="184">
        <f t="shared" si="89"/>
        <v>-3757.0814092056207</v>
      </c>
      <c r="AA157" s="184">
        <f t="shared" si="89"/>
        <v>-11915.570694304739</v>
      </c>
      <c r="AB157" s="184">
        <f t="shared" si="89"/>
        <v>-15437.562403587846</v>
      </c>
      <c r="AD157" s="195">
        <f t="shared" si="94"/>
        <v>801259.34867978143</v>
      </c>
      <c r="AE157" s="184">
        <f t="shared" si="90"/>
        <v>-235877.08140920562</v>
      </c>
      <c r="AF157" s="184">
        <f t="shared" si="90"/>
        <v>-297403.57069430471</v>
      </c>
      <c r="AG157" s="184">
        <f t="shared" si="90"/>
        <v>-234355.56240358786</v>
      </c>
    </row>
    <row r="158" spans="13:33" x14ac:dyDescent="0.3">
      <c r="M158" s="222"/>
      <c r="O158" s="182">
        <f t="shared" si="98"/>
        <v>1228911.1408421628</v>
      </c>
      <c r="P158" s="183">
        <f t="shared" si="98"/>
        <v>13305.627393469556</v>
      </c>
      <c r="Q158" s="184">
        <f t="shared" si="98"/>
        <v>8791.0661798555375</v>
      </c>
      <c r="R158" s="184">
        <f t="shared" si="98"/>
        <v>205.02940475678312</v>
      </c>
      <c r="T158" s="182">
        <f t="shared" si="92"/>
        <v>1214767.1408421628</v>
      </c>
      <c r="U158" s="184">
        <f t="shared" si="88"/>
        <v>3241.6273934695564</v>
      </c>
      <c r="V158" s="184">
        <f t="shared" si="88"/>
        <v>-3005.9338201444625</v>
      </c>
      <c r="W158" s="184">
        <f t="shared" si="88"/>
        <v>-9429.9705952432178</v>
      </c>
      <c r="Y158" s="182">
        <f t="shared" si="93"/>
        <v>1203357.1408421628</v>
      </c>
      <c r="Z158" s="184">
        <f t="shared" si="89"/>
        <v>-3274.3726065304436</v>
      </c>
      <c r="AA158" s="184">
        <f t="shared" si="89"/>
        <v>-11600.933820144463</v>
      </c>
      <c r="AB158" s="184">
        <f t="shared" si="89"/>
        <v>-15431.970595243218</v>
      </c>
      <c r="AD158" s="195">
        <f t="shared" si="94"/>
        <v>845601.14084216277</v>
      </c>
      <c r="AE158" s="184">
        <f t="shared" si="90"/>
        <v>-235394.37260653044</v>
      </c>
      <c r="AF158" s="184">
        <f t="shared" si="90"/>
        <v>-297088.93382014445</v>
      </c>
      <c r="AG158" s="184">
        <f t="shared" si="90"/>
        <v>-234349.97059524321</v>
      </c>
    </row>
    <row r="159" spans="13:33" x14ac:dyDescent="0.3">
      <c r="M159" s="111"/>
      <c r="N159" s="8"/>
      <c r="O159" s="194">
        <f t="shared" si="98"/>
        <v>1243358.5882567635</v>
      </c>
      <c r="P159" s="193">
        <f t="shared" si="98"/>
        <v>13462.903626637481</v>
      </c>
      <c r="Q159" s="197">
        <f t="shared" si="98"/>
        <v>8893.5811994893447</v>
      </c>
      <c r="R159" s="197">
        <f t="shared" si="98"/>
        <v>206.85132834335587</v>
      </c>
      <c r="T159" s="194">
        <f t="shared" si="92"/>
        <v>1229214.5882567635</v>
      </c>
      <c r="U159" s="197">
        <f t="shared" si="88"/>
        <v>3398.9036266374806</v>
      </c>
      <c r="V159" s="197">
        <f t="shared" si="88"/>
        <v>-2903.4188005106553</v>
      </c>
      <c r="W159" s="197">
        <f t="shared" si="88"/>
        <v>-9428.1486716566433</v>
      </c>
      <c r="Y159" s="194">
        <f t="shared" si="93"/>
        <v>1217804.5882567635</v>
      </c>
      <c r="Z159" s="197">
        <f t="shared" si="89"/>
        <v>-3117.0963733625194</v>
      </c>
      <c r="AA159" s="197">
        <f t="shared" si="89"/>
        <v>-11498.418800510655</v>
      </c>
      <c r="AB159" s="197">
        <f t="shared" si="89"/>
        <v>-15430.148671656643</v>
      </c>
      <c r="AC159" s="8"/>
      <c r="AD159" s="196">
        <f t="shared" si="94"/>
        <v>860048.58825676353</v>
      </c>
      <c r="AE159" s="197">
        <f t="shared" si="90"/>
        <v>-235237.09637336252</v>
      </c>
      <c r="AF159" s="197">
        <f t="shared" si="90"/>
        <v>-296986.41880051064</v>
      </c>
      <c r="AG159" s="197">
        <f t="shared" si="90"/>
        <v>-234348.14867165664</v>
      </c>
    </row>
    <row r="160" spans="13:33" x14ac:dyDescent="0.3">
      <c r="M160" s="237"/>
      <c r="N160" s="207"/>
      <c r="O160" s="195">
        <f>O120*O133</f>
        <v>141647.35972164967</v>
      </c>
      <c r="P160" s="184">
        <f t="shared" ref="P160:R161" si="99">P120*P133</f>
        <v>1532.7316373070576</v>
      </c>
      <c r="Q160" s="184">
        <f t="shared" si="99"/>
        <v>1014.1713468701638</v>
      </c>
      <c r="R160" s="184">
        <f t="shared" si="99"/>
        <v>24.259949214830002</v>
      </c>
      <c r="T160" s="195">
        <f t="shared" si="92"/>
        <v>127503.35972164967</v>
      </c>
      <c r="U160" s="184">
        <f t="shared" si="88"/>
        <v>-8531.2683626929429</v>
      </c>
      <c r="V160" s="184">
        <f t="shared" si="88"/>
        <v>-10782.828653129836</v>
      </c>
      <c r="W160" s="184">
        <f t="shared" si="88"/>
        <v>-9610.7400507851708</v>
      </c>
      <c r="Y160" s="195">
        <f t="shared" si="93"/>
        <v>116093.35972164967</v>
      </c>
      <c r="Z160" s="184">
        <f t="shared" si="89"/>
        <v>-15047.268362692943</v>
      </c>
      <c r="AA160" s="184">
        <f t="shared" si="89"/>
        <v>-19377.828653129836</v>
      </c>
      <c r="AB160" s="184">
        <f t="shared" si="89"/>
        <v>-15612.740050785171</v>
      </c>
      <c r="AC160" s="207"/>
      <c r="AD160" s="184">
        <f t="shared" si="94"/>
        <v>-241662.64027835033</v>
      </c>
      <c r="AE160" s="184">
        <f t="shared" si="90"/>
        <v>-247167.26836269294</v>
      </c>
      <c r="AF160" s="184">
        <f t="shared" si="90"/>
        <v>-304865.82865312981</v>
      </c>
      <c r="AG160" s="184">
        <f t="shared" si="90"/>
        <v>-234530.74005078516</v>
      </c>
    </row>
    <row r="161" spans="13:33" ht="28.8" x14ac:dyDescent="0.3">
      <c r="M161" s="222" t="s">
        <v>922</v>
      </c>
      <c r="O161" s="195">
        <f>O121*O134</f>
        <v>151392.2739319907</v>
      </c>
      <c r="P161" s="184">
        <f t="shared" si="99"/>
        <v>1638.8156641641567</v>
      </c>
      <c r="Q161" s="184">
        <f t="shared" si="99"/>
        <v>1083.3185147354923</v>
      </c>
      <c r="R161" s="184">
        <f t="shared" si="99"/>
        <v>25.488850662916004</v>
      </c>
      <c r="T161" s="195">
        <f t="shared" si="92"/>
        <v>137248.2739319907</v>
      </c>
      <c r="U161" s="184">
        <f t="shared" si="88"/>
        <v>-8425.1843358358437</v>
      </c>
      <c r="V161" s="184">
        <f t="shared" si="88"/>
        <v>-10713.681485264508</v>
      </c>
      <c r="W161" s="184">
        <f t="shared" si="88"/>
        <v>-9609.5111493370841</v>
      </c>
      <c r="Y161" s="195">
        <f t="shared" si="93"/>
        <v>125838.2739319907</v>
      </c>
      <c r="Z161" s="184">
        <f t="shared" si="89"/>
        <v>-14941.184335835844</v>
      </c>
      <c r="AA161" s="184">
        <f t="shared" si="89"/>
        <v>-19308.681485264508</v>
      </c>
      <c r="AB161" s="184">
        <f t="shared" si="89"/>
        <v>-15611.511149337084</v>
      </c>
      <c r="AD161" s="184">
        <f t="shared" si="94"/>
        <v>-231917.7260680093</v>
      </c>
      <c r="AE161" s="184">
        <f t="shared" si="90"/>
        <v>-247061.18433583583</v>
      </c>
      <c r="AF161" s="184">
        <f t="shared" si="90"/>
        <v>-304796.6814852645</v>
      </c>
      <c r="AG161" s="184">
        <f t="shared" si="90"/>
        <v>-234529.51114933708</v>
      </c>
    </row>
    <row r="162" spans="13:33" x14ac:dyDescent="0.3">
      <c r="M162" s="222"/>
      <c r="O162" s="195">
        <f t="shared" ref="O162:R163" si="100">O122*O135</f>
        <v>157059.31634969666</v>
      </c>
      <c r="P162" s="184">
        <f t="shared" si="100"/>
        <v>1700.5076059364392</v>
      </c>
      <c r="Q162" s="184">
        <f t="shared" si="100"/>
        <v>1123.5302523556377</v>
      </c>
      <c r="R162" s="184">
        <f t="shared" si="100"/>
        <v>26.20350412041833</v>
      </c>
      <c r="T162" s="195">
        <f t="shared" si="92"/>
        <v>142915.31634969666</v>
      </c>
      <c r="U162" s="184">
        <f t="shared" si="88"/>
        <v>-8363.4923940635599</v>
      </c>
      <c r="V162" s="184">
        <f t="shared" si="88"/>
        <v>-10673.469747644362</v>
      </c>
      <c r="W162" s="184">
        <f t="shared" si="88"/>
        <v>-9608.7964958795819</v>
      </c>
      <c r="Y162" s="195">
        <f t="shared" si="93"/>
        <v>131505.31634969666</v>
      </c>
      <c r="Z162" s="184">
        <f t="shared" si="89"/>
        <v>-14879.49239406356</v>
      </c>
      <c r="AA162" s="184">
        <f t="shared" si="89"/>
        <v>-19268.469747644362</v>
      </c>
      <c r="AB162" s="184">
        <f t="shared" si="89"/>
        <v>-15610.796495879582</v>
      </c>
      <c r="AD162" s="184">
        <f t="shared" si="94"/>
        <v>-226250.68365030334</v>
      </c>
      <c r="AE162" s="184">
        <f t="shared" si="90"/>
        <v>-246999.49239406356</v>
      </c>
      <c r="AF162" s="184">
        <f t="shared" si="90"/>
        <v>-304756.46974764438</v>
      </c>
      <c r="AG162" s="184">
        <f t="shared" si="90"/>
        <v>-234528.79649587959</v>
      </c>
    </row>
    <row r="163" spans="13:33" x14ac:dyDescent="0.3">
      <c r="M163" s="111"/>
      <c r="N163" s="8"/>
      <c r="O163" s="196">
        <f t="shared" si="100"/>
        <v>158905.75270992069</v>
      </c>
      <c r="P163" s="197">
        <f t="shared" si="100"/>
        <v>1720.6080809329324</v>
      </c>
      <c r="Q163" s="197">
        <f t="shared" si="100"/>
        <v>1136.6320449622438</v>
      </c>
      <c r="R163" s="197">
        <f t="shared" si="100"/>
        <v>26.436352585566432</v>
      </c>
      <c r="T163" s="196">
        <f t="shared" si="92"/>
        <v>144761.75270992069</v>
      </c>
      <c r="U163" s="197">
        <f t="shared" si="88"/>
        <v>-8343.3919190670676</v>
      </c>
      <c r="V163" s="197">
        <f t="shared" si="88"/>
        <v>-10660.367955037756</v>
      </c>
      <c r="W163" s="197">
        <f t="shared" si="88"/>
        <v>-9608.5636474144339</v>
      </c>
      <c r="Y163" s="196">
        <f t="shared" si="93"/>
        <v>133351.75270992069</v>
      </c>
      <c r="Z163" s="197">
        <f t="shared" si="89"/>
        <v>-14859.391919067068</v>
      </c>
      <c r="AA163" s="197">
        <f t="shared" si="89"/>
        <v>-19255.367955037756</v>
      </c>
      <c r="AB163" s="197">
        <f t="shared" si="89"/>
        <v>-15610.563647414434</v>
      </c>
      <c r="AC163" s="8"/>
      <c r="AD163" s="197">
        <f t="shared" si="94"/>
        <v>-224404.24729007931</v>
      </c>
      <c r="AE163" s="197">
        <f t="shared" si="90"/>
        <v>-246979.39191906707</v>
      </c>
      <c r="AF163" s="197">
        <f t="shared" si="90"/>
        <v>-304743.36795503774</v>
      </c>
      <c r="AG163" s="197">
        <f t="shared" si="90"/>
        <v>-234528.56364741444</v>
      </c>
    </row>
    <row r="164" spans="13:33" x14ac:dyDescent="0.3">
      <c r="M164" s="237"/>
      <c r="N164" s="207"/>
      <c r="O164" s="183">
        <f>O124*O133</f>
        <v>10318.681834027457</v>
      </c>
      <c r="P164" s="184">
        <f t="shared" ref="P164:R164" si="101">P124*P133</f>
        <v>111.65594708859361</v>
      </c>
      <c r="Q164" s="184">
        <f t="shared" si="101"/>
        <v>73.880031891203984</v>
      </c>
      <c r="R164" s="184">
        <f t="shared" si="101"/>
        <v>1.7672810686299996</v>
      </c>
      <c r="T164" s="184">
        <f t="shared" si="92"/>
        <v>-3825.3181659725433</v>
      </c>
      <c r="U164" s="184">
        <f t="shared" si="92"/>
        <v>-9952.3440529114068</v>
      </c>
      <c r="V164" s="184">
        <f t="shared" si="92"/>
        <v>-11723.119968108796</v>
      </c>
      <c r="W164" s="184">
        <f t="shared" si="92"/>
        <v>-9633.2327189313692</v>
      </c>
      <c r="Y164" s="184">
        <f t="shared" si="93"/>
        <v>-15235.318165972543</v>
      </c>
      <c r="Z164" s="184">
        <f t="shared" si="93"/>
        <v>-16468.344052911405</v>
      </c>
      <c r="AA164" s="184">
        <f t="shared" si="93"/>
        <v>-20318.119968108796</v>
      </c>
      <c r="AB164" s="184">
        <f t="shared" si="93"/>
        <v>-15635.232718931369</v>
      </c>
      <c r="AC164" s="207"/>
      <c r="AD164" s="234"/>
      <c r="AE164" s="234"/>
      <c r="AF164" s="234"/>
      <c r="AG164" s="234"/>
    </row>
    <row r="165" spans="13:33" ht="28.8" x14ac:dyDescent="0.3">
      <c r="M165" s="222" t="s">
        <v>923</v>
      </c>
      <c r="O165" s="183">
        <f t="shared" ref="O165:R167" si="102">O125*O134</f>
        <v>11028.576246701306</v>
      </c>
      <c r="P165" s="184">
        <f t="shared" si="102"/>
        <v>119.38392255500479</v>
      </c>
      <c r="Q165" s="184">
        <f t="shared" si="102"/>
        <v>78.917242795300766</v>
      </c>
      <c r="R165" s="184">
        <f t="shared" si="102"/>
        <v>1.8568036906760002</v>
      </c>
      <c r="T165" s="184">
        <f t="shared" si="92"/>
        <v>-3115.4237532986936</v>
      </c>
      <c r="U165" s="184">
        <f t="shared" si="92"/>
        <v>-9944.6160774449945</v>
      </c>
      <c r="V165" s="184">
        <f t="shared" si="92"/>
        <v>-11718.0827572047</v>
      </c>
      <c r="W165" s="184">
        <f t="shared" si="92"/>
        <v>-9633.1431963093237</v>
      </c>
      <c r="Y165" s="184">
        <f t="shared" si="93"/>
        <v>-14525.423753298694</v>
      </c>
      <c r="Z165" s="184">
        <f t="shared" si="93"/>
        <v>-16460.616077444996</v>
      </c>
      <c r="AA165" s="184">
        <f t="shared" si="93"/>
        <v>-20313.082757204698</v>
      </c>
      <c r="AB165" s="184">
        <f t="shared" si="93"/>
        <v>-15635.143196309324</v>
      </c>
      <c r="AD165" s="184">
        <f t="shared" si="94"/>
        <v>-372281.4237532987</v>
      </c>
      <c r="AE165" s="184">
        <f t="shared" si="94"/>
        <v>-248580.61607744498</v>
      </c>
      <c r="AF165" s="184">
        <f t="shared" si="94"/>
        <v>-305801.08275720471</v>
      </c>
      <c r="AG165" s="184">
        <f t="shared" si="94"/>
        <v>-234553.14319630933</v>
      </c>
    </row>
    <row r="166" spans="13:33" x14ac:dyDescent="0.3">
      <c r="M166" s="222"/>
      <c r="O166" s="183">
        <f t="shared" si="102"/>
        <v>11441.407151302403</v>
      </c>
      <c r="P166" s="184">
        <f t="shared" si="102"/>
        <v>123.87803751854855</v>
      </c>
      <c r="Q166" s="184">
        <f t="shared" si="102"/>
        <v>81.84657467491401</v>
      </c>
      <c r="R166" s="184">
        <f t="shared" si="102"/>
        <v>1.9088645385735203</v>
      </c>
      <c r="T166" s="184">
        <f t="shared" si="92"/>
        <v>-2702.5928486975972</v>
      </c>
      <c r="U166" s="184">
        <f t="shared" si="92"/>
        <v>-9940.1219624814512</v>
      </c>
      <c r="V166" s="184">
        <f t="shared" si="92"/>
        <v>-11715.153425325087</v>
      </c>
      <c r="W166" s="184">
        <f t="shared" si="92"/>
        <v>-9633.0911354614273</v>
      </c>
      <c r="Y166" s="184">
        <f t="shared" si="93"/>
        <v>-14112.592848697597</v>
      </c>
      <c r="Z166" s="184">
        <f t="shared" si="93"/>
        <v>-16456.121962481451</v>
      </c>
      <c r="AA166" s="184">
        <f t="shared" si="93"/>
        <v>-20310.153425325087</v>
      </c>
      <c r="AB166" s="184">
        <f t="shared" si="93"/>
        <v>-15635.091135461427</v>
      </c>
      <c r="AD166" s="184">
        <f t="shared" si="94"/>
        <v>-371868.59284869762</v>
      </c>
      <c r="AE166" s="184">
        <f t="shared" si="94"/>
        <v>-248576.12196248144</v>
      </c>
      <c r="AF166" s="184">
        <f t="shared" si="94"/>
        <v>-305798.15342532506</v>
      </c>
      <c r="AG166" s="184">
        <f t="shared" si="94"/>
        <v>-234553.09113546144</v>
      </c>
    </row>
    <row r="167" spans="13:33" x14ac:dyDescent="0.3">
      <c r="M167" s="111"/>
      <c r="N167" s="8"/>
      <c r="O167" s="193">
        <f t="shared" si="102"/>
        <v>11575.915760325346</v>
      </c>
      <c r="P167" s="197">
        <f t="shared" si="102"/>
        <v>125.3423105315381</v>
      </c>
      <c r="Q167" s="197">
        <f t="shared" si="102"/>
        <v>82.801009897911797</v>
      </c>
      <c r="R167" s="197">
        <f t="shared" si="102"/>
        <v>1.9258270095445742</v>
      </c>
      <c r="T167" s="197">
        <f t="shared" si="92"/>
        <v>-2568.0842396746539</v>
      </c>
      <c r="U167" s="197">
        <f t="shared" si="92"/>
        <v>-9938.6576894684622</v>
      </c>
      <c r="V167" s="197">
        <f t="shared" si="92"/>
        <v>-11714.198990102088</v>
      </c>
      <c r="W167" s="197">
        <f t="shared" si="92"/>
        <v>-9633.0741729904548</v>
      </c>
      <c r="Y167" s="197">
        <f t="shared" si="93"/>
        <v>-13978.084239674654</v>
      </c>
      <c r="Z167" s="197">
        <f t="shared" si="93"/>
        <v>-16454.657689468462</v>
      </c>
      <c r="AA167" s="197">
        <f t="shared" si="93"/>
        <v>-20309.19899010209</v>
      </c>
      <c r="AB167" s="197">
        <f t="shared" si="93"/>
        <v>-15635.074172990455</v>
      </c>
      <c r="AC167" s="8"/>
      <c r="AD167" s="197">
        <f t="shared" si="94"/>
        <v>-371734.08423967467</v>
      </c>
      <c r="AE167" s="197">
        <f t="shared" si="94"/>
        <v>-248574.65768946847</v>
      </c>
      <c r="AF167" s="197">
        <f t="shared" si="94"/>
        <v>-305797.1989901021</v>
      </c>
      <c r="AG167" s="197">
        <f t="shared" si="94"/>
        <v>-234553.07417299045</v>
      </c>
    </row>
    <row r="168" spans="13:33" x14ac:dyDescent="0.3">
      <c r="M168" s="237"/>
      <c r="N168" s="207"/>
      <c r="O168" s="184">
        <f>O128*O133</f>
        <v>1407.0929773673806</v>
      </c>
      <c r="P168" s="184">
        <f t="shared" ref="P168:R168" si="103">P128*P133</f>
        <v>15.225810966626399</v>
      </c>
      <c r="Q168" s="184">
        <f t="shared" si="103"/>
        <v>10.074549803345999</v>
      </c>
      <c r="R168" s="184">
        <f t="shared" si="103"/>
        <v>0.24099287299499997</v>
      </c>
      <c r="T168" s="184">
        <f t="shared" si="92"/>
        <v>-12736.907022632618</v>
      </c>
      <c r="U168" s="184">
        <f t="shared" si="92"/>
        <v>-10048.774189033373</v>
      </c>
      <c r="V168" s="184">
        <f t="shared" si="92"/>
        <v>-11786.925450196653</v>
      </c>
      <c r="W168" s="184">
        <f t="shared" si="92"/>
        <v>-9634.7590071270042</v>
      </c>
      <c r="Y168" s="234"/>
      <c r="Z168" s="234"/>
      <c r="AA168" s="234"/>
      <c r="AB168" s="234"/>
      <c r="AC168" s="207"/>
      <c r="AD168" s="234"/>
      <c r="AE168" s="234"/>
      <c r="AF168" s="234"/>
      <c r="AG168" s="234"/>
    </row>
    <row r="169" spans="13:33" x14ac:dyDescent="0.3">
      <c r="M169" s="222" t="s">
        <v>827</v>
      </c>
      <c r="O169" s="184">
        <f t="shared" ref="O169:R171" si="104">O129*O134</f>
        <v>1503.8967609138144</v>
      </c>
      <c r="P169" s="184">
        <f t="shared" si="104"/>
        <v>16.279625802955195</v>
      </c>
      <c r="Q169" s="184">
        <f t="shared" si="104"/>
        <v>10.761442199359195</v>
      </c>
      <c r="R169" s="184">
        <f t="shared" si="104"/>
        <v>0.25320050327400001</v>
      </c>
      <c r="T169" s="184">
        <f t="shared" si="92"/>
        <v>-12640.103239086186</v>
      </c>
      <c r="U169" s="184">
        <f t="shared" si="92"/>
        <v>-10047.720374197044</v>
      </c>
      <c r="V169" s="184">
        <f t="shared" si="92"/>
        <v>-11786.238557800642</v>
      </c>
      <c r="W169" s="184">
        <f t="shared" si="92"/>
        <v>-9634.7467994967265</v>
      </c>
      <c r="Y169" s="184">
        <f t="shared" si="93"/>
        <v>-24050.103239086187</v>
      </c>
      <c r="Z169" s="184">
        <f t="shared" si="93"/>
        <v>-16563.720374197044</v>
      </c>
      <c r="AA169" s="184">
        <f t="shared" si="93"/>
        <v>-20381.23855780064</v>
      </c>
      <c r="AB169" s="184">
        <f t="shared" si="93"/>
        <v>-15636.746799496726</v>
      </c>
      <c r="AD169" s="184">
        <f t="shared" si="94"/>
        <v>-381806.10323908617</v>
      </c>
      <c r="AE169" s="184">
        <f t="shared" si="94"/>
        <v>-248683.72037419706</v>
      </c>
      <c r="AF169" s="184">
        <f t="shared" si="94"/>
        <v>-305869.23855780065</v>
      </c>
      <c r="AG169" s="184">
        <f t="shared" si="94"/>
        <v>-234554.74679949673</v>
      </c>
    </row>
    <row r="170" spans="13:33" x14ac:dyDescent="0.3">
      <c r="M170" s="221" t="s">
        <v>925</v>
      </c>
      <c r="O170" s="184">
        <f t="shared" si="104"/>
        <v>1560.1918842685095</v>
      </c>
      <c r="P170" s="184">
        <f t="shared" si="104"/>
        <v>16.892459661620254</v>
      </c>
      <c r="Q170" s="184">
        <f t="shared" si="104"/>
        <v>11.160896546579183</v>
      </c>
      <c r="R170" s="184">
        <f t="shared" si="104"/>
        <v>0.26029970980548001</v>
      </c>
      <c r="T170" s="184">
        <f t="shared" si="92"/>
        <v>-12583.80811573149</v>
      </c>
      <c r="U170" s="184">
        <f t="shared" si="92"/>
        <v>-10047.10754033838</v>
      </c>
      <c r="V170" s="184">
        <f t="shared" si="92"/>
        <v>-11785.839103453422</v>
      </c>
      <c r="W170" s="184">
        <f t="shared" si="92"/>
        <v>-9634.7397002901944</v>
      </c>
      <c r="Y170" s="184">
        <f t="shared" si="93"/>
        <v>-23993.808115731492</v>
      </c>
      <c r="Z170" s="184">
        <f t="shared" si="93"/>
        <v>-16563.10754033838</v>
      </c>
      <c r="AA170" s="184">
        <f t="shared" si="93"/>
        <v>-20380.839103453422</v>
      </c>
      <c r="AB170" s="184">
        <f t="shared" si="93"/>
        <v>-15636.739700290194</v>
      </c>
      <c r="AD170" s="184">
        <f t="shared" si="94"/>
        <v>-381749.80811573152</v>
      </c>
      <c r="AE170" s="184">
        <f t="shared" si="94"/>
        <v>-248683.10754033839</v>
      </c>
      <c r="AF170" s="184">
        <f t="shared" si="94"/>
        <v>-305868.83910345344</v>
      </c>
      <c r="AG170" s="184">
        <f t="shared" si="94"/>
        <v>-234554.7397002902</v>
      </c>
    </row>
    <row r="171" spans="13:33" x14ac:dyDescent="0.3">
      <c r="M171" s="8"/>
      <c r="N171" s="8"/>
      <c r="O171" s="184">
        <f t="shared" si="104"/>
        <v>1578.5339673170924</v>
      </c>
      <c r="P171" s="184">
        <f t="shared" si="104"/>
        <v>17.092133254300652</v>
      </c>
      <c r="Q171" s="184">
        <f t="shared" si="104"/>
        <v>11.291046804260699</v>
      </c>
      <c r="R171" s="184">
        <f t="shared" si="104"/>
        <v>0.26261277402880556</v>
      </c>
      <c r="T171" s="184">
        <f t="shared" si="92"/>
        <v>-12565.466032682907</v>
      </c>
      <c r="U171" s="184">
        <f t="shared" si="92"/>
        <v>-10046.9078667457</v>
      </c>
      <c r="V171" s="184">
        <f t="shared" si="92"/>
        <v>-11785.708953195739</v>
      </c>
      <c r="W171" s="184">
        <f t="shared" si="92"/>
        <v>-9634.7373872259705</v>
      </c>
      <c r="Y171" s="184">
        <f t="shared" si="93"/>
        <v>-23975.466032682907</v>
      </c>
      <c r="Z171" s="184">
        <f t="shared" si="93"/>
        <v>-16562.9078667457</v>
      </c>
      <c r="AA171" s="184">
        <f t="shared" si="93"/>
        <v>-20380.708953195739</v>
      </c>
      <c r="AB171" s="184">
        <f t="shared" si="93"/>
        <v>-15636.73738722597</v>
      </c>
      <c r="AD171" s="184">
        <f t="shared" si="94"/>
        <v>-381731.46603268292</v>
      </c>
      <c r="AE171" s="184">
        <f t="shared" si="94"/>
        <v>-248682.90786674569</v>
      </c>
      <c r="AF171" s="184">
        <f t="shared" si="94"/>
        <v>-305868.70895319572</v>
      </c>
      <c r="AG171" s="184">
        <f t="shared" si="94"/>
        <v>-234554.73738722596</v>
      </c>
    </row>
    <row r="174" spans="13:33" x14ac:dyDescent="0.3">
      <c r="M174" s="221" t="s">
        <v>858</v>
      </c>
      <c r="T174" s="221" t="s">
        <v>969</v>
      </c>
      <c r="Y174" s="221" t="s">
        <v>968</v>
      </c>
      <c r="AD174" s="221" t="s">
        <v>970</v>
      </c>
    </row>
    <row r="175" spans="13:33" x14ac:dyDescent="0.3">
      <c r="M175" s="176" t="s">
        <v>823</v>
      </c>
      <c r="O175" s="188" t="s">
        <v>828</v>
      </c>
      <c r="P175" s="188" t="s">
        <v>829</v>
      </c>
      <c r="Q175" s="188" t="s">
        <v>830</v>
      </c>
      <c r="R175" s="188" t="s">
        <v>831</v>
      </c>
      <c r="T175" s="170">
        <f>9511+4633</f>
        <v>14144</v>
      </c>
      <c r="U175" s="170">
        <f>5431+4633</f>
        <v>10064</v>
      </c>
      <c r="V175" s="170">
        <f>7164+4633</f>
        <v>11797</v>
      </c>
      <c r="W175" s="170">
        <f>5002+4633</f>
        <v>9635</v>
      </c>
      <c r="X175" s="8"/>
      <c r="Y175" s="170">
        <f>20921+4633</f>
        <v>25554</v>
      </c>
      <c r="Z175" s="170">
        <f>11947+4633</f>
        <v>16580</v>
      </c>
      <c r="AA175" s="170">
        <f>15759+4633</f>
        <v>20392</v>
      </c>
      <c r="AB175" s="170">
        <f>11004+4633</f>
        <v>15637</v>
      </c>
      <c r="AC175" s="8"/>
      <c r="AD175" s="170">
        <f>Y175*15</f>
        <v>383310</v>
      </c>
      <c r="AE175" s="170">
        <f>Z175*15</f>
        <v>248700</v>
      </c>
      <c r="AF175" s="170">
        <f>AA175*15</f>
        <v>305880</v>
      </c>
      <c r="AG175" s="170">
        <f>AB175*15</f>
        <v>234555</v>
      </c>
    </row>
    <row r="176" spans="13:33" x14ac:dyDescent="0.3">
      <c r="M176" s="225"/>
      <c r="O176" s="182">
        <f>O108*(O133+O137)</f>
        <v>487339334.05829358</v>
      </c>
      <c r="P176" s="182">
        <f t="shared" ref="P176:R176" si="105">P108*(P133+P137)</f>
        <v>6024674.4247088013</v>
      </c>
      <c r="Q176" s="182">
        <f t="shared" si="105"/>
        <v>19259747.932781998</v>
      </c>
      <c r="R176" s="182">
        <f t="shared" si="105"/>
        <v>2360020.6226650001</v>
      </c>
      <c r="T176" s="182">
        <f>O176-T$147</f>
        <v>487325190.05829358</v>
      </c>
      <c r="U176" s="182">
        <f t="shared" ref="U176:W191" si="106">P176-U$147</f>
        <v>6014610.4247088013</v>
      </c>
      <c r="V176" s="182">
        <f t="shared" si="106"/>
        <v>19247950.932781998</v>
      </c>
      <c r="W176" s="182">
        <f t="shared" si="106"/>
        <v>2350385.6226650001</v>
      </c>
      <c r="X176" s="207"/>
      <c r="Y176" s="182">
        <f>O176-Y$175</f>
        <v>487313780.05829358</v>
      </c>
      <c r="Z176" s="182">
        <f t="shared" ref="Z176:AB191" si="107">P176-Z$175</f>
        <v>6008094.4247088013</v>
      </c>
      <c r="AA176" s="182">
        <f t="shared" si="107"/>
        <v>19239355.932781998</v>
      </c>
      <c r="AB176" s="182">
        <f t="shared" si="107"/>
        <v>2344383.6226650001</v>
      </c>
      <c r="AC176" s="207"/>
      <c r="AD176" s="182">
        <f>O176-AD$175</f>
        <v>486956024.05829358</v>
      </c>
      <c r="AE176" s="182">
        <f t="shared" ref="AE176:AG191" si="108">P176-AE$175</f>
        <v>5775974.4247088013</v>
      </c>
      <c r="AF176" s="182">
        <f t="shared" si="108"/>
        <v>18953867.932781998</v>
      </c>
      <c r="AG176" s="182">
        <f t="shared" si="108"/>
        <v>2125465.6226650001</v>
      </c>
    </row>
    <row r="177" spans="13:33" x14ac:dyDescent="0.3">
      <c r="M177" s="222" t="s">
        <v>826</v>
      </c>
      <c r="O177" s="182">
        <f t="shared" ref="O177:R179" si="109">O109*(O134+O138)</f>
        <v>520930275.09860486</v>
      </c>
      <c r="P177" s="182">
        <f t="shared" si="109"/>
        <v>6442866.7283183997</v>
      </c>
      <c r="Q177" s="182">
        <f t="shared" si="109"/>
        <v>20299560.089786395</v>
      </c>
      <c r="R177" s="182">
        <f t="shared" si="109"/>
        <v>2497312.8577579996</v>
      </c>
      <c r="T177" s="182">
        <f>O177-T$147</f>
        <v>520916131.09860486</v>
      </c>
      <c r="U177" s="182">
        <f t="shared" si="106"/>
        <v>6432802.7283183997</v>
      </c>
      <c r="V177" s="182">
        <f t="shared" si="106"/>
        <v>20287763.089786395</v>
      </c>
      <c r="W177" s="182">
        <f t="shared" si="106"/>
        <v>2487677.8577579996</v>
      </c>
      <c r="Y177" s="182">
        <f>O177-Y$175</f>
        <v>520904721.09860486</v>
      </c>
      <c r="Z177" s="182">
        <f t="shared" si="107"/>
        <v>6426286.7283183997</v>
      </c>
      <c r="AA177" s="182">
        <f t="shared" si="107"/>
        <v>20279168.089786395</v>
      </c>
      <c r="AB177" s="182">
        <f t="shared" si="107"/>
        <v>2481675.8577579996</v>
      </c>
      <c r="AC177" s="101"/>
      <c r="AD177" s="182">
        <f>O177-AD$175</f>
        <v>520546965.09860486</v>
      </c>
      <c r="AE177" s="182">
        <f t="shared" si="108"/>
        <v>6194166.7283183997</v>
      </c>
      <c r="AF177" s="182">
        <f t="shared" si="108"/>
        <v>19993680.089786395</v>
      </c>
      <c r="AG177" s="182">
        <f t="shared" si="108"/>
        <v>2262757.8577579996</v>
      </c>
    </row>
    <row r="178" spans="13:33" x14ac:dyDescent="0.3">
      <c r="M178" s="222" t="s">
        <v>924</v>
      </c>
      <c r="O178" s="182">
        <f t="shared" si="109"/>
        <v>540464699.27281654</v>
      </c>
      <c r="P178" s="182">
        <f t="shared" si="109"/>
        <v>6686061.6371867526</v>
      </c>
      <c r="Q178" s="182">
        <f t="shared" si="109"/>
        <v>20904250.851859726</v>
      </c>
      <c r="R178" s="182">
        <f t="shared" si="109"/>
        <v>2577153.5729351602</v>
      </c>
      <c r="T178" s="182">
        <f t="shared" ref="T178:W193" si="110">O178-T$147</f>
        <v>540450555.27281654</v>
      </c>
      <c r="U178" s="182">
        <f t="shared" si="106"/>
        <v>6675997.6371867526</v>
      </c>
      <c r="V178" s="182">
        <f t="shared" si="106"/>
        <v>20892453.851859726</v>
      </c>
      <c r="W178" s="182">
        <f t="shared" si="106"/>
        <v>2567518.5729351602</v>
      </c>
      <c r="Y178" s="182">
        <f t="shared" ref="Y178:AB199" si="111">O178-Y$175</f>
        <v>540439145.27281654</v>
      </c>
      <c r="Z178" s="182">
        <f t="shared" si="107"/>
        <v>6669481.6371867526</v>
      </c>
      <c r="AA178" s="182">
        <f t="shared" si="107"/>
        <v>20883858.851859726</v>
      </c>
      <c r="AB178" s="182">
        <f t="shared" si="107"/>
        <v>2561516.5729351602</v>
      </c>
      <c r="AC178" s="101"/>
      <c r="AD178" s="182">
        <f t="shared" ref="AD178:AG199" si="112">O178-AD$175</f>
        <v>540081389.27281654</v>
      </c>
      <c r="AE178" s="182">
        <f t="shared" si="108"/>
        <v>6437361.6371867526</v>
      </c>
      <c r="AF178" s="182">
        <f t="shared" si="108"/>
        <v>20598370.851859726</v>
      </c>
      <c r="AG178" s="182">
        <f t="shared" si="108"/>
        <v>2342598.5729351602</v>
      </c>
    </row>
    <row r="179" spans="13:33" x14ac:dyDescent="0.3">
      <c r="M179" s="111"/>
      <c r="N179" s="8"/>
      <c r="O179" s="194">
        <f t="shared" si="109"/>
        <v>546829407.42439318</v>
      </c>
      <c r="P179" s="194">
        <f t="shared" si="109"/>
        <v>6765299.4281291505</v>
      </c>
      <c r="Q179" s="194">
        <f t="shared" si="109"/>
        <v>21101271.259946901</v>
      </c>
      <c r="R179" s="194">
        <f t="shared" si="109"/>
        <v>2603167.283202935</v>
      </c>
      <c r="T179" s="194">
        <f t="shared" si="110"/>
        <v>546815263.42439318</v>
      </c>
      <c r="U179" s="194">
        <f t="shared" si="106"/>
        <v>6755235.4281291505</v>
      </c>
      <c r="V179" s="194">
        <f t="shared" si="106"/>
        <v>21089474.259946901</v>
      </c>
      <c r="W179" s="194">
        <f t="shared" si="106"/>
        <v>2593532.283202935</v>
      </c>
      <c r="Y179" s="194">
        <f t="shared" si="111"/>
        <v>546803853.42439318</v>
      </c>
      <c r="Z179" s="194">
        <f t="shared" si="107"/>
        <v>6748719.4281291505</v>
      </c>
      <c r="AA179" s="194">
        <f t="shared" si="107"/>
        <v>21080879.259946901</v>
      </c>
      <c r="AB179" s="194">
        <f t="shared" si="107"/>
        <v>2587530.283202935</v>
      </c>
      <c r="AC179" s="208"/>
      <c r="AD179" s="194">
        <f t="shared" si="112"/>
        <v>546446097.42439318</v>
      </c>
      <c r="AE179" s="194">
        <f t="shared" si="108"/>
        <v>6516599.4281291505</v>
      </c>
      <c r="AF179" s="194">
        <f t="shared" si="108"/>
        <v>20795391.259946901</v>
      </c>
      <c r="AG179" s="194">
        <f t="shared" si="108"/>
        <v>2368612.283202935</v>
      </c>
    </row>
    <row r="180" spans="13:33" x14ac:dyDescent="0.3">
      <c r="M180" s="237"/>
      <c r="N180" s="207"/>
      <c r="O180" s="182">
        <f>O112*(O133+O137)</f>
        <v>4747659.7923958953</v>
      </c>
      <c r="P180" s="183">
        <f t="shared" ref="P180:R180" si="113">P112*(P133+P137)</f>
        <v>58692.378245513151</v>
      </c>
      <c r="Q180" s="195">
        <f t="shared" si="113"/>
        <v>187628.46436116225</v>
      </c>
      <c r="R180" s="183">
        <f t="shared" si="113"/>
        <v>22991.320906002435</v>
      </c>
      <c r="T180" s="182">
        <f t="shared" si="110"/>
        <v>4733515.7923958953</v>
      </c>
      <c r="U180" s="183">
        <f t="shared" si="106"/>
        <v>48628.378245513151</v>
      </c>
      <c r="V180" s="195">
        <f t="shared" si="106"/>
        <v>175831.46436116225</v>
      </c>
      <c r="W180" s="183">
        <f t="shared" si="106"/>
        <v>13356.320906002435</v>
      </c>
      <c r="Y180" s="182">
        <f t="shared" si="111"/>
        <v>4722105.7923958953</v>
      </c>
      <c r="Z180" s="183">
        <f t="shared" si="107"/>
        <v>42112.378245513151</v>
      </c>
      <c r="AA180" s="195">
        <f t="shared" si="107"/>
        <v>167236.46436116225</v>
      </c>
      <c r="AB180" s="184">
        <f t="shared" si="107"/>
        <v>7354.3209060024346</v>
      </c>
      <c r="AC180" s="208"/>
      <c r="AD180" s="182">
        <f t="shared" si="112"/>
        <v>4364349.7923958953</v>
      </c>
      <c r="AE180" s="184">
        <f t="shared" si="108"/>
        <v>-190007.62175448684</v>
      </c>
      <c r="AF180" s="184">
        <f t="shared" si="108"/>
        <v>-118251.53563883775</v>
      </c>
      <c r="AG180" s="184">
        <f t="shared" si="108"/>
        <v>-211563.67909399758</v>
      </c>
    </row>
    <row r="181" spans="13:33" ht="28.8" x14ac:dyDescent="0.3">
      <c r="M181" s="222" t="s">
        <v>920</v>
      </c>
      <c r="O181" s="182">
        <f t="shared" ref="O181:R183" si="114">O113*(O134+O138)</f>
        <v>5074902.740010608</v>
      </c>
      <c r="P181" s="183">
        <f t="shared" si="114"/>
        <v>62766.407667277861</v>
      </c>
      <c r="Q181" s="195">
        <f t="shared" si="114"/>
        <v>197758.31439469906</v>
      </c>
      <c r="R181" s="183">
        <f t="shared" si="114"/>
        <v>24328.821860278433</v>
      </c>
      <c r="T181" s="182">
        <f t="shared" si="110"/>
        <v>5060758.740010608</v>
      </c>
      <c r="U181" s="183">
        <f t="shared" si="106"/>
        <v>52702.407667277861</v>
      </c>
      <c r="V181" s="195">
        <f t="shared" si="106"/>
        <v>185961.31439469906</v>
      </c>
      <c r="W181" s="183">
        <f t="shared" si="106"/>
        <v>14693.821860278433</v>
      </c>
      <c r="Y181" s="182">
        <f t="shared" si="111"/>
        <v>5049348.740010608</v>
      </c>
      <c r="Z181" s="183">
        <f t="shared" si="107"/>
        <v>46186.407667277861</v>
      </c>
      <c r="AA181" s="195">
        <f t="shared" si="107"/>
        <v>177366.31439469906</v>
      </c>
      <c r="AB181" s="184">
        <f t="shared" si="107"/>
        <v>8691.8218602784327</v>
      </c>
      <c r="AC181" s="101"/>
      <c r="AD181" s="182">
        <f t="shared" si="112"/>
        <v>4691592.740010608</v>
      </c>
      <c r="AE181" s="184">
        <f t="shared" si="108"/>
        <v>-185933.59233272215</v>
      </c>
      <c r="AF181" s="184">
        <f t="shared" si="108"/>
        <v>-108121.68560530094</v>
      </c>
      <c r="AG181" s="184">
        <f t="shared" si="108"/>
        <v>-210226.17813972157</v>
      </c>
    </row>
    <row r="182" spans="13:33" x14ac:dyDescent="0.3">
      <c r="M182" s="222"/>
      <c r="O182" s="182">
        <f t="shared" si="114"/>
        <v>5265207.1003157785</v>
      </c>
      <c r="P182" s="183">
        <f t="shared" si="114"/>
        <v>65135.612469473352</v>
      </c>
      <c r="Q182" s="195">
        <f t="shared" si="114"/>
        <v>203649.21179881744</v>
      </c>
      <c r="R182" s="183">
        <f t="shared" si="114"/>
        <v>25106.630107534333</v>
      </c>
      <c r="T182" s="182">
        <f t="shared" si="110"/>
        <v>5251063.1003157785</v>
      </c>
      <c r="U182" s="183">
        <f t="shared" si="106"/>
        <v>55071.612469473352</v>
      </c>
      <c r="V182" s="195">
        <f t="shared" si="106"/>
        <v>191852.21179881744</v>
      </c>
      <c r="W182" s="183">
        <f t="shared" si="106"/>
        <v>15471.630107534333</v>
      </c>
      <c r="Y182" s="182">
        <f t="shared" si="111"/>
        <v>5239653.1003157785</v>
      </c>
      <c r="Z182" s="183">
        <f t="shared" si="107"/>
        <v>48555.612469473352</v>
      </c>
      <c r="AA182" s="195">
        <f t="shared" si="107"/>
        <v>183257.21179881744</v>
      </c>
      <c r="AB182" s="184">
        <f t="shared" si="107"/>
        <v>9469.6301075343326</v>
      </c>
      <c r="AC182" s="101"/>
      <c r="AD182" s="182">
        <f t="shared" si="112"/>
        <v>4881897.1003157785</v>
      </c>
      <c r="AE182" s="184">
        <f t="shared" si="108"/>
        <v>-183564.38753052664</v>
      </c>
      <c r="AF182" s="184">
        <f t="shared" si="108"/>
        <v>-102230.78820118256</v>
      </c>
      <c r="AG182" s="184">
        <f t="shared" si="108"/>
        <v>-209448.36989246568</v>
      </c>
    </row>
    <row r="183" spans="13:33" x14ac:dyDescent="0.3">
      <c r="M183" s="111"/>
      <c r="N183" s="8"/>
      <c r="O183" s="194">
        <f t="shared" si="114"/>
        <v>5327212.0871284381</v>
      </c>
      <c r="P183" s="193">
        <f t="shared" si="114"/>
        <v>65907.547028834189</v>
      </c>
      <c r="Q183" s="196">
        <f t="shared" si="114"/>
        <v>205568.5846144027</v>
      </c>
      <c r="R183" s="193">
        <f t="shared" si="114"/>
        <v>25360.055672962993</v>
      </c>
      <c r="T183" s="194">
        <f t="shared" si="110"/>
        <v>5313068.0871284381</v>
      </c>
      <c r="U183" s="193">
        <f t="shared" si="106"/>
        <v>55843.547028834189</v>
      </c>
      <c r="V183" s="196">
        <f t="shared" si="106"/>
        <v>193771.5846144027</v>
      </c>
      <c r="W183" s="193">
        <f t="shared" si="106"/>
        <v>15725.055672962993</v>
      </c>
      <c r="Y183" s="194">
        <f t="shared" si="111"/>
        <v>5301658.0871284381</v>
      </c>
      <c r="Z183" s="193">
        <f t="shared" si="107"/>
        <v>49327.547028834189</v>
      </c>
      <c r="AA183" s="196">
        <f t="shared" si="107"/>
        <v>185176.5846144027</v>
      </c>
      <c r="AB183" s="197">
        <f t="shared" si="107"/>
        <v>9723.0556729629934</v>
      </c>
      <c r="AC183" s="208"/>
      <c r="AD183" s="194">
        <f t="shared" si="112"/>
        <v>4943902.0871284381</v>
      </c>
      <c r="AE183" s="197">
        <f t="shared" si="108"/>
        <v>-182792.45297116583</v>
      </c>
      <c r="AF183" s="197">
        <f t="shared" si="108"/>
        <v>-100311.4153855973</v>
      </c>
      <c r="AG183" s="197">
        <f t="shared" si="108"/>
        <v>-209194.944327037</v>
      </c>
    </row>
    <row r="184" spans="13:33" x14ac:dyDescent="0.3">
      <c r="M184" s="237"/>
      <c r="N184" s="207"/>
      <c r="O184" s="182">
        <f>O116*(O133+O137)</f>
        <v>1151582.8463797481</v>
      </c>
      <c r="P184" s="183">
        <f t="shared" ref="P184:R184" si="115">P116*(P133+P137)</f>
        <v>14236.305665586899</v>
      </c>
      <c r="Q184" s="183">
        <f t="shared" si="115"/>
        <v>45510.784365163869</v>
      </c>
      <c r="R184" s="184">
        <f t="shared" si="115"/>
        <v>5576.7287313573952</v>
      </c>
      <c r="T184" s="182">
        <f t="shared" si="110"/>
        <v>1137438.8463797481</v>
      </c>
      <c r="U184" s="183">
        <f t="shared" si="106"/>
        <v>4172.3056655868986</v>
      </c>
      <c r="V184" s="183">
        <f t="shared" si="106"/>
        <v>33713.784365163869</v>
      </c>
      <c r="W184" s="184">
        <f t="shared" si="106"/>
        <v>-4058.2712686426048</v>
      </c>
      <c r="Y184" s="182">
        <f t="shared" si="111"/>
        <v>1126028.8463797481</v>
      </c>
      <c r="Z184" s="184">
        <f t="shared" si="107"/>
        <v>-2343.6943344131014</v>
      </c>
      <c r="AA184" s="183">
        <f t="shared" si="107"/>
        <v>25118.784365163869</v>
      </c>
      <c r="AB184" s="184">
        <f t="shared" si="107"/>
        <v>-10060.271268642606</v>
      </c>
      <c r="AC184" s="208"/>
      <c r="AD184" s="195">
        <f t="shared" si="112"/>
        <v>768272.84637974808</v>
      </c>
      <c r="AE184" s="184">
        <f t="shared" si="108"/>
        <v>-234463.6943344131</v>
      </c>
      <c r="AF184" s="184">
        <f t="shared" si="108"/>
        <v>-260369.21563483612</v>
      </c>
      <c r="AG184" s="184">
        <f t="shared" si="108"/>
        <v>-228978.27126864259</v>
      </c>
    </row>
    <row r="185" spans="13:33" ht="28.8" x14ac:dyDescent="0.3">
      <c r="M185" s="222" t="s">
        <v>921</v>
      </c>
      <c r="O185" s="182">
        <f t="shared" ref="O185:R187" si="116">O117*(O134+O138)</f>
        <v>1230958.2400580035</v>
      </c>
      <c r="P185" s="183">
        <f t="shared" si="116"/>
        <v>15224.49407901638</v>
      </c>
      <c r="Q185" s="183">
        <f t="shared" si="116"/>
        <v>47967.860492165259</v>
      </c>
      <c r="R185" s="184">
        <f t="shared" si="116"/>
        <v>5901.1502828821522</v>
      </c>
      <c r="T185" s="182">
        <f t="shared" si="110"/>
        <v>1216814.2400580035</v>
      </c>
      <c r="U185" s="183">
        <f t="shared" si="106"/>
        <v>5160.4940790163801</v>
      </c>
      <c r="V185" s="183">
        <f t="shared" si="106"/>
        <v>36170.860492165259</v>
      </c>
      <c r="W185" s="184">
        <f t="shared" si="106"/>
        <v>-3733.8497171178478</v>
      </c>
      <c r="Y185" s="182">
        <f t="shared" si="111"/>
        <v>1205404.2400580035</v>
      </c>
      <c r="Z185" s="184">
        <f t="shared" si="107"/>
        <v>-1355.5059209836199</v>
      </c>
      <c r="AA185" s="183">
        <f t="shared" si="107"/>
        <v>27575.860492165259</v>
      </c>
      <c r="AB185" s="184">
        <f t="shared" si="107"/>
        <v>-9735.8497171178478</v>
      </c>
      <c r="AC185" s="101"/>
      <c r="AD185" s="195">
        <f t="shared" si="112"/>
        <v>847648.24005800346</v>
      </c>
      <c r="AE185" s="184">
        <f t="shared" si="108"/>
        <v>-233475.50592098362</v>
      </c>
      <c r="AF185" s="184">
        <f t="shared" si="108"/>
        <v>-257912.13950783474</v>
      </c>
      <c r="AG185" s="184">
        <f t="shared" si="108"/>
        <v>-228653.84971711785</v>
      </c>
    </row>
    <row r="186" spans="13:33" x14ac:dyDescent="0.3">
      <c r="M186" s="222"/>
      <c r="O186" s="182">
        <f t="shared" si="116"/>
        <v>1277118.0843816658</v>
      </c>
      <c r="P186" s="183">
        <f t="shared" si="116"/>
        <v>15799.163648672296</v>
      </c>
      <c r="Q186" s="183">
        <f t="shared" si="116"/>
        <v>49396.744762944545</v>
      </c>
      <c r="R186" s="184">
        <f t="shared" si="116"/>
        <v>6089.8138928457838</v>
      </c>
      <c r="T186" s="182">
        <f t="shared" si="110"/>
        <v>1262974.0843816658</v>
      </c>
      <c r="U186" s="183">
        <f t="shared" si="106"/>
        <v>5735.1636486722964</v>
      </c>
      <c r="V186" s="183">
        <f t="shared" si="106"/>
        <v>37599.744762944545</v>
      </c>
      <c r="W186" s="184">
        <f t="shared" si="106"/>
        <v>-3545.1861071542162</v>
      </c>
      <c r="Y186" s="182">
        <f t="shared" si="111"/>
        <v>1251564.0843816658</v>
      </c>
      <c r="Z186" s="184">
        <f t="shared" si="107"/>
        <v>-780.8363513277036</v>
      </c>
      <c r="AA186" s="183">
        <f t="shared" si="107"/>
        <v>29004.744762944545</v>
      </c>
      <c r="AB186" s="184">
        <f t="shared" si="107"/>
        <v>-9547.1861071542153</v>
      </c>
      <c r="AC186" s="101"/>
      <c r="AD186" s="195">
        <f t="shared" si="112"/>
        <v>893808.0843816658</v>
      </c>
      <c r="AE186" s="184">
        <f t="shared" si="108"/>
        <v>-232900.83635132771</v>
      </c>
      <c r="AF186" s="184">
        <f t="shared" si="108"/>
        <v>-256483.25523705545</v>
      </c>
      <c r="AG186" s="184">
        <f t="shared" si="108"/>
        <v>-228465.18610715421</v>
      </c>
    </row>
    <row r="187" spans="13:33" x14ac:dyDescent="0.3">
      <c r="M187" s="111"/>
      <c r="N187" s="8"/>
      <c r="O187" s="194">
        <f t="shared" si="116"/>
        <v>1292157.8897438413</v>
      </c>
      <c r="P187" s="193">
        <f t="shared" si="116"/>
        <v>15986.402548669183</v>
      </c>
      <c r="Q187" s="193">
        <f t="shared" si="116"/>
        <v>49862.303987254534</v>
      </c>
      <c r="R187" s="197">
        <f t="shared" si="116"/>
        <v>6151.2842902085349</v>
      </c>
      <c r="T187" s="194">
        <f t="shared" si="110"/>
        <v>1278013.8897438413</v>
      </c>
      <c r="U187" s="193">
        <f t="shared" si="106"/>
        <v>5922.4025486691826</v>
      </c>
      <c r="V187" s="193">
        <f t="shared" si="106"/>
        <v>38065.303987254534</v>
      </c>
      <c r="W187" s="197">
        <f t="shared" si="106"/>
        <v>-3483.7157097914651</v>
      </c>
      <c r="Y187" s="194">
        <f t="shared" si="111"/>
        <v>1266603.8897438413</v>
      </c>
      <c r="Z187" s="197">
        <f t="shared" si="107"/>
        <v>-593.59745133081742</v>
      </c>
      <c r="AA187" s="193">
        <f t="shared" si="107"/>
        <v>29470.303987254534</v>
      </c>
      <c r="AB187" s="197">
        <f t="shared" si="107"/>
        <v>-9485.7157097914642</v>
      </c>
      <c r="AC187" s="101"/>
      <c r="AD187" s="196">
        <f t="shared" si="112"/>
        <v>908847.88974384125</v>
      </c>
      <c r="AE187" s="197">
        <f t="shared" si="108"/>
        <v>-232713.5974513308</v>
      </c>
      <c r="AF187" s="197">
        <f t="shared" si="108"/>
        <v>-256017.69601274547</v>
      </c>
      <c r="AG187" s="197">
        <f t="shared" si="108"/>
        <v>-228403.71570979146</v>
      </c>
    </row>
    <row r="188" spans="13:33" x14ac:dyDescent="0.3">
      <c r="M188" s="237"/>
      <c r="N188" s="207"/>
      <c r="O188" s="195">
        <f>O120*(O133+O137)</f>
        <v>147176.47888560468</v>
      </c>
      <c r="P188" s="184">
        <f t="shared" ref="P188:R188" si="117">P120*(P133+P137)</f>
        <v>1819.4516762620578</v>
      </c>
      <c r="Q188" s="184">
        <f t="shared" si="117"/>
        <v>5816.4438757001635</v>
      </c>
      <c r="R188" s="184">
        <f t="shared" si="117"/>
        <v>712.72622804483012</v>
      </c>
      <c r="T188" s="195">
        <f t="shared" si="110"/>
        <v>133032.47888560468</v>
      </c>
      <c r="U188" s="184">
        <f t="shared" si="106"/>
        <v>-8244.5483237379412</v>
      </c>
      <c r="V188" s="184">
        <f t="shared" si="106"/>
        <v>-5980.5561242998365</v>
      </c>
      <c r="W188" s="184">
        <f t="shared" si="106"/>
        <v>-8922.2737719551697</v>
      </c>
      <c r="Y188" s="195">
        <f t="shared" si="111"/>
        <v>121622.47888560468</v>
      </c>
      <c r="Z188" s="184">
        <f t="shared" si="107"/>
        <v>-14760.548323737941</v>
      </c>
      <c r="AA188" s="184">
        <f t="shared" si="107"/>
        <v>-14575.556124299837</v>
      </c>
      <c r="AB188" s="184">
        <f t="shared" si="107"/>
        <v>-14924.27377195517</v>
      </c>
      <c r="AC188" s="101"/>
      <c r="AD188" s="184">
        <f t="shared" si="112"/>
        <v>-236133.52111439532</v>
      </c>
      <c r="AE188" s="184">
        <f t="shared" si="108"/>
        <v>-246880.54832373795</v>
      </c>
      <c r="AF188" s="184">
        <f t="shared" si="108"/>
        <v>-300063.55612429982</v>
      </c>
      <c r="AG188" s="184">
        <f t="shared" si="108"/>
        <v>-233842.27377195517</v>
      </c>
    </row>
    <row r="189" spans="13:33" ht="28.8" x14ac:dyDescent="0.3">
      <c r="M189" s="222" t="s">
        <v>922</v>
      </c>
      <c r="O189" s="195">
        <f t="shared" ref="O189:R191" si="118">O121*(O134+O138)</f>
        <v>157320.94307977869</v>
      </c>
      <c r="P189" s="184">
        <f t="shared" si="118"/>
        <v>1945.7457519521568</v>
      </c>
      <c r="Q189" s="184">
        <f t="shared" si="118"/>
        <v>6130.4671471154916</v>
      </c>
      <c r="R189" s="184">
        <f t="shared" si="118"/>
        <v>754.18848304291589</v>
      </c>
      <c r="T189" s="195">
        <f t="shared" si="110"/>
        <v>143176.94307977869</v>
      </c>
      <c r="U189" s="184">
        <f t="shared" si="106"/>
        <v>-8118.2542480478432</v>
      </c>
      <c r="V189" s="184">
        <f t="shared" si="106"/>
        <v>-5666.5328528845084</v>
      </c>
      <c r="W189" s="184">
        <f t="shared" si="106"/>
        <v>-8880.8115169570847</v>
      </c>
      <c r="Y189" s="195">
        <f t="shared" si="111"/>
        <v>131766.94307977869</v>
      </c>
      <c r="Z189" s="184">
        <f t="shared" si="107"/>
        <v>-14634.254248047844</v>
      </c>
      <c r="AA189" s="184">
        <f t="shared" si="107"/>
        <v>-14261.532852884509</v>
      </c>
      <c r="AB189" s="184">
        <f t="shared" si="107"/>
        <v>-14882.811516957085</v>
      </c>
      <c r="AC189" s="101"/>
      <c r="AD189" s="184">
        <f t="shared" si="112"/>
        <v>-225989.05692022131</v>
      </c>
      <c r="AE189" s="184">
        <f t="shared" si="108"/>
        <v>-246754.25424804783</v>
      </c>
      <c r="AF189" s="184">
        <f t="shared" si="108"/>
        <v>-299749.5328528845</v>
      </c>
      <c r="AG189" s="184">
        <f t="shared" si="108"/>
        <v>-233800.8115169571</v>
      </c>
    </row>
    <row r="190" spans="13:33" x14ac:dyDescent="0.3">
      <c r="M190" s="222"/>
      <c r="O190" s="195">
        <f t="shared" si="118"/>
        <v>163220.33918039061</v>
      </c>
      <c r="P190" s="184">
        <f t="shared" si="118"/>
        <v>2019.1906144303991</v>
      </c>
      <c r="Q190" s="184">
        <f t="shared" si="118"/>
        <v>6313.0837572616365</v>
      </c>
      <c r="R190" s="184">
        <f t="shared" si="118"/>
        <v>778.30037902641845</v>
      </c>
      <c r="T190" s="195">
        <f t="shared" si="110"/>
        <v>149076.33918039061</v>
      </c>
      <c r="U190" s="184">
        <f t="shared" si="106"/>
        <v>-8044.8093855696006</v>
      </c>
      <c r="V190" s="184">
        <f t="shared" si="106"/>
        <v>-5483.9162427383635</v>
      </c>
      <c r="W190" s="184">
        <f t="shared" si="106"/>
        <v>-8856.6996209735807</v>
      </c>
      <c r="Y190" s="195">
        <f t="shared" si="111"/>
        <v>137666.33918039061</v>
      </c>
      <c r="Z190" s="184">
        <f t="shared" si="107"/>
        <v>-14560.809385569601</v>
      </c>
      <c r="AA190" s="184">
        <f t="shared" si="107"/>
        <v>-14078.916242738364</v>
      </c>
      <c r="AB190" s="184">
        <f t="shared" si="107"/>
        <v>-14858.699620973581</v>
      </c>
      <c r="AC190" s="101"/>
      <c r="AD190" s="184">
        <f t="shared" si="112"/>
        <v>-220089.66081960939</v>
      </c>
      <c r="AE190" s="184">
        <f t="shared" si="108"/>
        <v>-246680.80938556959</v>
      </c>
      <c r="AF190" s="184">
        <f t="shared" si="108"/>
        <v>-299566.91624273837</v>
      </c>
      <c r="AG190" s="184">
        <f t="shared" si="108"/>
        <v>-233776.69962097358</v>
      </c>
    </row>
    <row r="191" spans="13:33" x14ac:dyDescent="0.3">
      <c r="M191" s="111"/>
      <c r="N191" s="8"/>
      <c r="O191" s="196">
        <f t="shared" si="118"/>
        <v>165142.48104216676</v>
      </c>
      <c r="P191" s="197">
        <f t="shared" si="118"/>
        <v>2043.1204272950033</v>
      </c>
      <c r="Q191" s="197">
        <f t="shared" si="118"/>
        <v>6372.5839205039638</v>
      </c>
      <c r="R191" s="197">
        <f t="shared" si="118"/>
        <v>786.15651952728649</v>
      </c>
      <c r="T191" s="196">
        <f t="shared" si="110"/>
        <v>150998.48104216676</v>
      </c>
      <c r="U191" s="197">
        <f t="shared" si="106"/>
        <v>-8020.8795727049965</v>
      </c>
      <c r="V191" s="197">
        <f t="shared" si="106"/>
        <v>-5424.4160794960362</v>
      </c>
      <c r="W191" s="197">
        <f t="shared" si="106"/>
        <v>-8848.8434804727131</v>
      </c>
      <c r="Y191" s="196">
        <f t="shared" si="111"/>
        <v>139588.48104216676</v>
      </c>
      <c r="Z191" s="197">
        <f t="shared" si="107"/>
        <v>-14536.879572704996</v>
      </c>
      <c r="AA191" s="197">
        <f t="shared" si="107"/>
        <v>-14019.416079496037</v>
      </c>
      <c r="AB191" s="197">
        <f t="shared" si="107"/>
        <v>-14850.843480472713</v>
      </c>
      <c r="AC191" s="101"/>
      <c r="AD191" s="197">
        <f t="shared" si="112"/>
        <v>-218167.51895783324</v>
      </c>
      <c r="AE191" s="197">
        <f t="shared" si="108"/>
        <v>-246656.87957270499</v>
      </c>
      <c r="AF191" s="197">
        <f t="shared" si="108"/>
        <v>-299507.41607949603</v>
      </c>
      <c r="AG191" s="197">
        <f t="shared" si="108"/>
        <v>-233768.84348047271</v>
      </c>
    </row>
    <row r="192" spans="13:33" x14ac:dyDescent="0.3">
      <c r="M192" s="237"/>
      <c r="N192" s="207"/>
      <c r="O192" s="183">
        <f>O124*(O133+O137)</f>
        <v>10721.465349282456</v>
      </c>
      <c r="P192" s="184">
        <f t="shared" ref="P192:R192" si="119">P124*(P133+P137)</f>
        <v>132.54283734359362</v>
      </c>
      <c r="Q192" s="184">
        <f t="shared" si="119"/>
        <v>423.714454521204</v>
      </c>
      <c r="R192" s="184">
        <f t="shared" si="119"/>
        <v>51.920453698629998</v>
      </c>
      <c r="T192" s="184">
        <f t="shared" si="110"/>
        <v>-3422.5346507175436</v>
      </c>
      <c r="U192" s="184">
        <f t="shared" si="110"/>
        <v>-9931.4571626564066</v>
      </c>
      <c r="V192" s="184">
        <f t="shared" si="110"/>
        <v>-11373.285545478797</v>
      </c>
      <c r="W192" s="184">
        <f t="shared" si="110"/>
        <v>-9583.0795463013692</v>
      </c>
      <c r="Y192" s="184">
        <f t="shared" si="111"/>
        <v>-14832.534650717544</v>
      </c>
      <c r="Z192" s="184">
        <f t="shared" si="111"/>
        <v>-16447.457162656407</v>
      </c>
      <c r="AA192" s="184">
        <f t="shared" si="111"/>
        <v>-19968.285545478797</v>
      </c>
      <c r="AB192" s="184">
        <f t="shared" si="111"/>
        <v>-15585.079546301369</v>
      </c>
      <c r="AC192" s="101"/>
      <c r="AD192" s="184">
        <f t="shared" si="112"/>
        <v>-372588.53465071757</v>
      </c>
      <c r="AE192" s="184">
        <f t="shared" si="112"/>
        <v>-248567.45716265641</v>
      </c>
      <c r="AF192" s="184">
        <f t="shared" si="112"/>
        <v>-305456.28554547881</v>
      </c>
      <c r="AG192" s="184">
        <f t="shared" si="112"/>
        <v>-234503.07954630136</v>
      </c>
    </row>
    <row r="193" spans="13:33" ht="28.8" x14ac:dyDescent="0.3">
      <c r="M193" s="222" t="s">
        <v>923</v>
      </c>
      <c r="O193" s="183">
        <f t="shared" ref="O193:R195" si="120">O125*(O134+O138)</f>
        <v>11460.466052169306</v>
      </c>
      <c r="P193" s="184">
        <f t="shared" si="120"/>
        <v>141.74306802300478</v>
      </c>
      <c r="Q193" s="184">
        <f t="shared" si="120"/>
        <v>446.5903219753007</v>
      </c>
      <c r="R193" s="184">
        <f t="shared" si="120"/>
        <v>54.940882870675992</v>
      </c>
      <c r="T193" s="184">
        <f t="shared" si="110"/>
        <v>-2683.5339478306942</v>
      </c>
      <c r="U193" s="184">
        <f t="shared" si="110"/>
        <v>-9922.2569319769955</v>
      </c>
      <c r="V193" s="184">
        <f t="shared" si="110"/>
        <v>-11350.4096780247</v>
      </c>
      <c r="W193" s="184">
        <f t="shared" si="110"/>
        <v>-9580.0591171293236</v>
      </c>
      <c r="Y193" s="184">
        <f t="shared" si="111"/>
        <v>-14093.533947830694</v>
      </c>
      <c r="Z193" s="184">
        <f t="shared" si="111"/>
        <v>-16438.256931976994</v>
      </c>
      <c r="AA193" s="184">
        <f t="shared" si="111"/>
        <v>-19945.409678024698</v>
      </c>
      <c r="AB193" s="184">
        <f t="shared" si="111"/>
        <v>-15582.059117129324</v>
      </c>
      <c r="AC193" s="101"/>
      <c r="AD193" s="184">
        <f t="shared" si="112"/>
        <v>-371849.53394783067</v>
      </c>
      <c r="AE193" s="184">
        <f t="shared" si="112"/>
        <v>-248558.256931977</v>
      </c>
      <c r="AF193" s="184">
        <f t="shared" si="112"/>
        <v>-305433.40967802471</v>
      </c>
      <c r="AG193" s="184">
        <f t="shared" si="112"/>
        <v>-234500.05911712933</v>
      </c>
    </row>
    <row r="194" spans="13:33" x14ac:dyDescent="0.3">
      <c r="M194" s="222"/>
      <c r="O194" s="183">
        <f t="shared" si="120"/>
        <v>11890.223384001962</v>
      </c>
      <c r="P194" s="184">
        <f t="shared" si="120"/>
        <v>147.09335601810855</v>
      </c>
      <c r="Q194" s="184">
        <f t="shared" si="120"/>
        <v>459.89351874091403</v>
      </c>
      <c r="R194" s="184">
        <f t="shared" si="120"/>
        <v>56.697378604573522</v>
      </c>
      <c r="T194" s="184">
        <f t="shared" ref="T194:W199" si="121">O194-T$147</f>
        <v>-2253.7766159980383</v>
      </c>
      <c r="U194" s="184">
        <f t="shared" si="121"/>
        <v>-9916.9066439818907</v>
      </c>
      <c r="V194" s="184">
        <f t="shared" si="121"/>
        <v>-11337.106481259087</v>
      </c>
      <c r="W194" s="184">
        <f t="shared" si="121"/>
        <v>-9578.3026213954272</v>
      </c>
      <c r="Y194" s="184">
        <f t="shared" si="111"/>
        <v>-13663.776615998038</v>
      </c>
      <c r="Z194" s="184">
        <f t="shared" si="111"/>
        <v>-16432.906643981893</v>
      </c>
      <c r="AA194" s="184">
        <f t="shared" si="111"/>
        <v>-19932.106481259085</v>
      </c>
      <c r="AB194" s="184">
        <f t="shared" si="111"/>
        <v>-15580.302621395427</v>
      </c>
      <c r="AC194" s="101"/>
      <c r="AD194" s="184">
        <f t="shared" si="112"/>
        <v>-371419.77661599801</v>
      </c>
      <c r="AE194" s="184">
        <f t="shared" si="112"/>
        <v>-248552.9066439819</v>
      </c>
      <c r="AF194" s="184">
        <f t="shared" si="112"/>
        <v>-305420.10648125911</v>
      </c>
      <c r="AG194" s="184">
        <f t="shared" si="112"/>
        <v>-234498.30262139541</v>
      </c>
    </row>
    <row r="195" spans="13:33" x14ac:dyDescent="0.3">
      <c r="M195" s="111"/>
      <c r="N195" s="8"/>
      <c r="O195" s="193">
        <f t="shared" si="120"/>
        <v>12030.246963336649</v>
      </c>
      <c r="P195" s="197">
        <f t="shared" si="120"/>
        <v>148.8365874188413</v>
      </c>
      <c r="Q195" s="197">
        <f t="shared" si="120"/>
        <v>464.22796771883185</v>
      </c>
      <c r="R195" s="197">
        <f t="shared" si="120"/>
        <v>57.269680230464566</v>
      </c>
      <c r="T195" s="197">
        <f t="shared" si="121"/>
        <v>-2113.7530366633509</v>
      </c>
      <c r="U195" s="197">
        <f t="shared" si="121"/>
        <v>-9915.1634125811579</v>
      </c>
      <c r="V195" s="197">
        <f t="shared" si="121"/>
        <v>-11332.772032281167</v>
      </c>
      <c r="W195" s="197">
        <f t="shared" si="121"/>
        <v>-9577.7303197695346</v>
      </c>
      <c r="Y195" s="197">
        <f t="shared" si="111"/>
        <v>-13523.753036663351</v>
      </c>
      <c r="Z195" s="197">
        <f t="shared" si="111"/>
        <v>-16431.163412581158</v>
      </c>
      <c r="AA195" s="197">
        <f t="shared" si="111"/>
        <v>-19927.772032281169</v>
      </c>
      <c r="AB195" s="197">
        <f t="shared" si="111"/>
        <v>-15579.730319769535</v>
      </c>
      <c r="AC195" s="101"/>
      <c r="AD195" s="197">
        <f t="shared" si="112"/>
        <v>-371279.75303666334</v>
      </c>
      <c r="AE195" s="197">
        <f t="shared" si="112"/>
        <v>-248551.16341258117</v>
      </c>
      <c r="AF195" s="197">
        <f t="shared" si="112"/>
        <v>-305415.77203228115</v>
      </c>
      <c r="AG195" s="197">
        <f t="shared" si="112"/>
        <v>-234497.73031976953</v>
      </c>
    </row>
    <row r="196" spans="13:33" x14ac:dyDescent="0.3">
      <c r="M196" s="237"/>
      <c r="N196" s="207"/>
      <c r="O196" s="184">
        <f>O128*(O133+O137)</f>
        <v>1462.0180021748806</v>
      </c>
      <c r="P196" s="184">
        <f t="shared" ref="P196:R196" si="122">P128*(P133+P137)</f>
        <v>18.0740232741264</v>
      </c>
      <c r="Q196" s="184">
        <f t="shared" si="122"/>
        <v>57.779243798346002</v>
      </c>
      <c r="R196" s="184">
        <f t="shared" si="122"/>
        <v>7.080061867995</v>
      </c>
      <c r="T196" s="184">
        <f t="shared" si="121"/>
        <v>-12681.98199782512</v>
      </c>
      <c r="U196" s="184">
        <f t="shared" si="121"/>
        <v>-10045.925976725874</v>
      </c>
      <c r="V196" s="184">
        <f t="shared" si="121"/>
        <v>-11739.220756201654</v>
      </c>
      <c r="W196" s="184">
        <f t="shared" si="121"/>
        <v>-9627.919938132005</v>
      </c>
      <c r="Y196" s="184">
        <f t="shared" si="111"/>
        <v>-24091.981997825118</v>
      </c>
      <c r="Z196" s="184">
        <f t="shared" si="111"/>
        <v>-16561.925976725874</v>
      </c>
      <c r="AA196" s="184">
        <f t="shared" si="111"/>
        <v>-20334.220756201656</v>
      </c>
      <c r="AB196" s="184">
        <f t="shared" si="111"/>
        <v>-15629.919938132005</v>
      </c>
      <c r="AC196" s="101"/>
      <c r="AD196" s="184">
        <f t="shared" si="112"/>
        <v>-381847.98199782515</v>
      </c>
      <c r="AE196" s="184">
        <f t="shared" si="112"/>
        <v>-248681.92597672588</v>
      </c>
      <c r="AF196" s="184">
        <f t="shared" si="112"/>
        <v>-305822.22075620166</v>
      </c>
      <c r="AG196" s="184">
        <f t="shared" si="112"/>
        <v>-234547.91993813199</v>
      </c>
    </row>
    <row r="197" spans="13:33" x14ac:dyDescent="0.3">
      <c r="M197" s="222" t="s">
        <v>827</v>
      </c>
      <c r="O197" s="184">
        <f t="shared" ref="O197:R199" si="123">O129*(O134+O138)</f>
        <v>1562.7908252958143</v>
      </c>
      <c r="P197" s="184">
        <f t="shared" si="123"/>
        <v>19.328600184955196</v>
      </c>
      <c r="Q197" s="184">
        <f t="shared" si="123"/>
        <v>60.898680269359183</v>
      </c>
      <c r="R197" s="184">
        <f t="shared" si="123"/>
        <v>7.4919385732739983</v>
      </c>
      <c r="T197" s="184">
        <f t="shared" si="121"/>
        <v>-12581.209174704185</v>
      </c>
      <c r="U197" s="184">
        <f t="shared" si="121"/>
        <v>-10044.671399815044</v>
      </c>
      <c r="V197" s="184">
        <f t="shared" si="121"/>
        <v>-11736.10131973064</v>
      </c>
      <c r="W197" s="184">
        <f t="shared" si="121"/>
        <v>-9627.5080614267263</v>
      </c>
      <c r="Y197" s="184">
        <f t="shared" si="111"/>
        <v>-23991.209174704185</v>
      </c>
      <c r="Z197" s="184">
        <f t="shared" si="111"/>
        <v>-16560.671399815044</v>
      </c>
      <c r="AA197" s="184">
        <f t="shared" si="111"/>
        <v>-20331.101319730642</v>
      </c>
      <c r="AB197" s="184">
        <f t="shared" si="111"/>
        <v>-15629.508061426726</v>
      </c>
      <c r="AC197" s="101"/>
      <c r="AD197" s="184">
        <f t="shared" si="112"/>
        <v>-381747.20917470421</v>
      </c>
      <c r="AE197" s="184">
        <f t="shared" si="112"/>
        <v>-248680.67139981504</v>
      </c>
      <c r="AF197" s="184">
        <f t="shared" si="112"/>
        <v>-305819.10131973063</v>
      </c>
      <c r="AG197" s="184">
        <f t="shared" si="112"/>
        <v>-234547.50806142672</v>
      </c>
    </row>
    <row r="198" spans="13:33" x14ac:dyDescent="0.3">
      <c r="M198" s="221" t="s">
        <v>925</v>
      </c>
      <c r="O198" s="184">
        <f t="shared" si="123"/>
        <v>1621.3940978184494</v>
      </c>
      <c r="P198" s="184">
        <f t="shared" si="123"/>
        <v>20.058184911560254</v>
      </c>
      <c r="Q198" s="184">
        <f t="shared" si="123"/>
        <v>62.712752555579179</v>
      </c>
      <c r="R198" s="184">
        <f t="shared" si="123"/>
        <v>7.7314607188054794</v>
      </c>
      <c r="T198" s="184">
        <f t="shared" si="121"/>
        <v>-12522.605902181551</v>
      </c>
      <c r="U198" s="184">
        <f t="shared" si="121"/>
        <v>-10043.941815088439</v>
      </c>
      <c r="V198" s="184">
        <f t="shared" si="121"/>
        <v>-11734.287247444421</v>
      </c>
      <c r="W198" s="184">
        <f t="shared" si="121"/>
        <v>-9627.2685392811945</v>
      </c>
      <c r="Y198" s="184">
        <f t="shared" si="111"/>
        <v>-23932.605902181549</v>
      </c>
      <c r="Z198" s="184">
        <f t="shared" si="111"/>
        <v>-16559.941815088441</v>
      </c>
      <c r="AA198" s="184">
        <f t="shared" si="111"/>
        <v>-20329.287247444419</v>
      </c>
      <c r="AB198" s="184">
        <f t="shared" si="111"/>
        <v>-15629.268539281195</v>
      </c>
      <c r="AC198" s="101"/>
      <c r="AD198" s="184">
        <f t="shared" si="112"/>
        <v>-381688.60590218153</v>
      </c>
      <c r="AE198" s="184">
        <f t="shared" si="112"/>
        <v>-248679.94181508844</v>
      </c>
      <c r="AF198" s="184">
        <f t="shared" si="112"/>
        <v>-305817.28724744444</v>
      </c>
      <c r="AG198" s="184">
        <f t="shared" si="112"/>
        <v>-234547.26853928118</v>
      </c>
    </row>
    <row r="199" spans="13:33" x14ac:dyDescent="0.3">
      <c r="M199" s="8"/>
      <c r="N199" s="8"/>
      <c r="O199" s="197">
        <f t="shared" si="123"/>
        <v>1640.4882222731792</v>
      </c>
      <c r="P199" s="197">
        <f t="shared" si="123"/>
        <v>20.295898284387448</v>
      </c>
      <c r="Q199" s="197">
        <f t="shared" si="123"/>
        <v>63.303813779840702</v>
      </c>
      <c r="R199" s="197">
        <f t="shared" si="123"/>
        <v>7.8095018496088038</v>
      </c>
      <c r="T199" s="184">
        <f t="shared" si="121"/>
        <v>-12503.511777726821</v>
      </c>
      <c r="U199" s="184">
        <f t="shared" si="121"/>
        <v>-10043.704101715613</v>
      </c>
      <c r="V199" s="184">
        <f t="shared" si="121"/>
        <v>-11733.696186220159</v>
      </c>
      <c r="W199" s="184">
        <f t="shared" si="121"/>
        <v>-9627.1904981503903</v>
      </c>
      <c r="Y199" s="184">
        <f t="shared" si="111"/>
        <v>-23913.511777726821</v>
      </c>
      <c r="Z199" s="184">
        <f t="shared" si="111"/>
        <v>-16559.704101715612</v>
      </c>
      <c r="AA199" s="184">
        <f t="shared" si="111"/>
        <v>-20328.696186220161</v>
      </c>
      <c r="AB199" s="184">
        <f t="shared" si="111"/>
        <v>-15629.19049815039</v>
      </c>
      <c r="AC199" s="101"/>
      <c r="AD199" s="184">
        <f t="shared" si="112"/>
        <v>-381669.51177772682</v>
      </c>
      <c r="AE199" s="184">
        <f t="shared" si="112"/>
        <v>-248679.70410171562</v>
      </c>
      <c r="AF199" s="184">
        <f t="shared" si="112"/>
        <v>-305816.69618622016</v>
      </c>
      <c r="AG199" s="184">
        <f t="shared" si="112"/>
        <v>-234547.19049815039</v>
      </c>
    </row>
    <row r="200" spans="13:33" x14ac:dyDescent="0.3">
      <c r="O200" s="198"/>
    </row>
    <row r="201" spans="13:33" x14ac:dyDescent="0.3">
      <c r="O201" s="198"/>
    </row>
    <row r="202" spans="13:33" x14ac:dyDescent="0.3">
      <c r="N202" s="1" t="s">
        <v>860</v>
      </c>
      <c r="T202" s="221" t="s">
        <v>969</v>
      </c>
      <c r="Y202" s="221" t="s">
        <v>968</v>
      </c>
      <c r="AD202" s="221" t="s">
        <v>970</v>
      </c>
    </row>
    <row r="203" spans="13:33" x14ac:dyDescent="0.3">
      <c r="M203" s="176" t="s">
        <v>823</v>
      </c>
      <c r="N203" s="8"/>
      <c r="O203" s="188" t="s">
        <v>828</v>
      </c>
      <c r="P203" s="188" t="s">
        <v>829</v>
      </c>
      <c r="Q203" s="188" t="s">
        <v>830</v>
      </c>
      <c r="R203" s="188" t="s">
        <v>831</v>
      </c>
      <c r="T203" s="170">
        <f>9511+4633</f>
        <v>14144</v>
      </c>
      <c r="U203" s="170">
        <f>5431+4633</f>
        <v>10064</v>
      </c>
      <c r="V203" s="170">
        <f>7164+4633</f>
        <v>11797</v>
      </c>
      <c r="W203" s="170">
        <f>5002+4633</f>
        <v>9635</v>
      </c>
      <c r="X203" s="8"/>
      <c r="Y203" s="170">
        <f>20921+4633</f>
        <v>25554</v>
      </c>
      <c r="Z203" s="170">
        <f>11947+4633</f>
        <v>16580</v>
      </c>
      <c r="AA203" s="170">
        <f>15759+4633</f>
        <v>20392</v>
      </c>
      <c r="AB203" s="170">
        <f>11004+4633</f>
        <v>15637</v>
      </c>
      <c r="AC203" s="8"/>
      <c r="AD203" s="170">
        <f>Y203*15</f>
        <v>383310</v>
      </c>
      <c r="AE203" s="170">
        <f>Z203*15</f>
        <v>248700</v>
      </c>
      <c r="AF203" s="170">
        <f>AA203*15</f>
        <v>305880</v>
      </c>
      <c r="AG203" s="170">
        <f>AB203*15</f>
        <v>234555</v>
      </c>
    </row>
    <row r="204" spans="13:33" x14ac:dyDescent="0.3">
      <c r="M204" s="225"/>
      <c r="N204" s="207"/>
      <c r="O204" s="182">
        <f>O74*O133</f>
        <v>469030992.45579356</v>
      </c>
      <c r="P204" s="182">
        <f t="shared" ref="P204:R204" si="124">P74*P133</f>
        <v>5075270.3222088004</v>
      </c>
      <c r="Q204" s="182">
        <f t="shared" si="124"/>
        <v>3358183.2677819994</v>
      </c>
      <c r="R204" s="183">
        <f t="shared" si="124"/>
        <v>80330.957664999994</v>
      </c>
      <c r="T204" s="182">
        <f>O204-T$147</f>
        <v>469016848.45579356</v>
      </c>
      <c r="U204" s="182">
        <f t="shared" ref="U204:W219" si="125">P204-U$147</f>
        <v>5065206.3222088004</v>
      </c>
      <c r="V204" s="182">
        <f t="shared" si="125"/>
        <v>3346386.2677819994</v>
      </c>
      <c r="W204" s="183">
        <f t="shared" si="125"/>
        <v>70695.957664999994</v>
      </c>
      <c r="X204" s="207"/>
      <c r="Y204" s="182">
        <f>O204-Y$203</f>
        <v>469005438.45579356</v>
      </c>
      <c r="Z204" s="182">
        <f t="shared" ref="Z204:AB219" si="126">P204-Z$203</f>
        <v>5058690.3222088004</v>
      </c>
      <c r="AA204" s="182">
        <f t="shared" si="126"/>
        <v>3337791.2677819994</v>
      </c>
      <c r="AB204" s="183">
        <f t="shared" si="126"/>
        <v>64693.957664999994</v>
      </c>
      <c r="AC204" s="207"/>
      <c r="AD204" s="182">
        <f>O204-AD$203</f>
        <v>468647682.45579356</v>
      </c>
      <c r="AE204" s="182">
        <f t="shared" ref="AE204:AG219" si="127">P204-AE$203</f>
        <v>4826570.3222088004</v>
      </c>
      <c r="AF204" s="182">
        <f t="shared" si="127"/>
        <v>3052303.2677819994</v>
      </c>
      <c r="AG204" s="184">
        <f t="shared" si="127"/>
        <v>-154224.04233500001</v>
      </c>
    </row>
    <row r="205" spans="13:33" x14ac:dyDescent="0.3">
      <c r="M205" s="222" t="s">
        <v>826</v>
      </c>
      <c r="O205" s="182">
        <f t="shared" ref="O205:R207" si="128">O75*O134</f>
        <v>501298920.30460483</v>
      </c>
      <c r="P205" s="182">
        <f t="shared" si="128"/>
        <v>5426541.9343184</v>
      </c>
      <c r="Q205" s="182">
        <f t="shared" si="128"/>
        <v>3587147.3997863983</v>
      </c>
      <c r="R205" s="183">
        <f t="shared" si="128"/>
        <v>84400.167758000011</v>
      </c>
      <c r="T205" s="182">
        <f>O205-T$147</f>
        <v>501284776.30460483</v>
      </c>
      <c r="U205" s="182">
        <f t="shared" si="125"/>
        <v>5416477.9343184</v>
      </c>
      <c r="V205" s="182">
        <f t="shared" si="125"/>
        <v>3575350.3997863983</v>
      </c>
      <c r="W205" s="183">
        <f t="shared" si="125"/>
        <v>74765.167758000011</v>
      </c>
      <c r="Y205" s="182">
        <f>O205-Y$203</f>
        <v>501273366.30460483</v>
      </c>
      <c r="Z205" s="182">
        <f t="shared" si="126"/>
        <v>5409961.9343184</v>
      </c>
      <c r="AA205" s="182">
        <f t="shared" si="126"/>
        <v>3566755.3997863983</v>
      </c>
      <c r="AB205" s="183">
        <f t="shared" si="126"/>
        <v>68763.167758000011</v>
      </c>
      <c r="AC205" s="101"/>
      <c r="AD205" s="182">
        <f>O205-AD$203</f>
        <v>500915610.30460483</v>
      </c>
      <c r="AE205" s="182">
        <f t="shared" si="127"/>
        <v>5177841.9343184</v>
      </c>
      <c r="AF205" s="182">
        <f t="shared" si="127"/>
        <v>3281267.3997863983</v>
      </c>
      <c r="AG205" s="184">
        <f t="shared" si="127"/>
        <v>-150154.83224199997</v>
      </c>
    </row>
    <row r="206" spans="13:33" x14ac:dyDescent="0.3">
      <c r="M206" s="222" t="s">
        <v>924</v>
      </c>
      <c r="O206" s="182">
        <f t="shared" si="128"/>
        <v>520063961.42283654</v>
      </c>
      <c r="P206" s="182">
        <f t="shared" si="128"/>
        <v>5630819.8872067519</v>
      </c>
      <c r="Q206" s="182">
        <f t="shared" si="128"/>
        <v>3720298.8488597278</v>
      </c>
      <c r="R206" s="183">
        <f t="shared" si="128"/>
        <v>86766.56993516002</v>
      </c>
      <c r="T206" s="182">
        <f t="shared" ref="T206:W227" si="129">O206-T$147</f>
        <v>520049817.42283654</v>
      </c>
      <c r="U206" s="182">
        <f t="shared" si="125"/>
        <v>5620755.8872067519</v>
      </c>
      <c r="V206" s="182">
        <f t="shared" si="125"/>
        <v>3708501.8488597278</v>
      </c>
      <c r="W206" s="183">
        <f t="shared" si="125"/>
        <v>77131.56993516002</v>
      </c>
      <c r="Y206" s="182">
        <f t="shared" ref="Y206:AB227" si="130">O206-Y$203</f>
        <v>520038407.42283654</v>
      </c>
      <c r="Z206" s="182">
        <f t="shared" si="126"/>
        <v>5614239.8872067519</v>
      </c>
      <c r="AA206" s="182">
        <f t="shared" si="126"/>
        <v>3699906.8488597278</v>
      </c>
      <c r="AB206" s="183">
        <f t="shared" si="126"/>
        <v>71129.56993516002</v>
      </c>
      <c r="AC206" s="101"/>
      <c r="AD206" s="182">
        <f t="shared" ref="AD206:AG227" si="131">O206-AD$203</f>
        <v>519680651.42283654</v>
      </c>
      <c r="AE206" s="182">
        <f t="shared" si="127"/>
        <v>5382119.8872067519</v>
      </c>
      <c r="AF206" s="182">
        <f t="shared" si="127"/>
        <v>3414418.8488597278</v>
      </c>
      <c r="AG206" s="184">
        <f t="shared" si="127"/>
        <v>-147788.43006483998</v>
      </c>
    </row>
    <row r="207" spans="13:33" x14ac:dyDescent="0.3">
      <c r="M207" s="111"/>
      <c r="N207" s="8"/>
      <c r="O207" s="194">
        <f t="shared" si="128"/>
        <v>526177989.10569757</v>
      </c>
      <c r="P207" s="194">
        <f t="shared" si="128"/>
        <v>5697377.7514335504</v>
      </c>
      <c r="Q207" s="194">
        <f t="shared" si="128"/>
        <v>3763682.2680868995</v>
      </c>
      <c r="R207" s="193">
        <f t="shared" si="128"/>
        <v>87537.591342935208</v>
      </c>
      <c r="T207" s="194">
        <f t="shared" si="129"/>
        <v>526163845.10569757</v>
      </c>
      <c r="U207" s="194">
        <f t="shared" si="125"/>
        <v>5687313.7514335504</v>
      </c>
      <c r="V207" s="194">
        <f t="shared" si="125"/>
        <v>3751885.2680868995</v>
      </c>
      <c r="W207" s="193">
        <f t="shared" si="125"/>
        <v>77902.591342935208</v>
      </c>
      <c r="Y207" s="194">
        <f t="shared" si="130"/>
        <v>526152435.10569757</v>
      </c>
      <c r="Z207" s="194">
        <f t="shared" si="126"/>
        <v>5680797.7514335504</v>
      </c>
      <c r="AA207" s="194">
        <f t="shared" si="126"/>
        <v>3743290.2680868995</v>
      </c>
      <c r="AB207" s="193">
        <f t="shared" si="126"/>
        <v>71900.591342935208</v>
      </c>
      <c r="AC207" s="101"/>
      <c r="AD207" s="194">
        <f t="shared" si="131"/>
        <v>525794679.10569757</v>
      </c>
      <c r="AE207" s="194">
        <f t="shared" si="127"/>
        <v>5448677.7514335504</v>
      </c>
      <c r="AF207" s="194">
        <f t="shared" si="127"/>
        <v>3457802.2680868995</v>
      </c>
      <c r="AG207" s="197">
        <f t="shared" si="127"/>
        <v>-147017.40865706478</v>
      </c>
    </row>
    <row r="208" spans="13:33" x14ac:dyDescent="0.3">
      <c r="M208" s="237"/>
      <c r="N208" s="207"/>
      <c r="O208" s="182">
        <f>O78*O133</f>
        <v>216322722.09252146</v>
      </c>
      <c r="P208" s="182">
        <f t="shared" ref="P208:R208" si="132">P78*P133</f>
        <v>2340775.5758465659</v>
      </c>
      <c r="Q208" s="182">
        <f t="shared" si="132"/>
        <v>1548834.4213002715</v>
      </c>
      <c r="R208" s="183">
        <f t="shared" si="132"/>
        <v>37049.601646589974</v>
      </c>
      <c r="T208" s="182">
        <f t="shared" si="129"/>
        <v>216308578.09252146</v>
      </c>
      <c r="U208" s="182">
        <f t="shared" si="125"/>
        <v>2330711.5758465659</v>
      </c>
      <c r="V208" s="182">
        <f t="shared" si="125"/>
        <v>1537037.4213002715</v>
      </c>
      <c r="W208" s="183">
        <f t="shared" si="125"/>
        <v>27414.601646589974</v>
      </c>
      <c r="Y208" s="182">
        <f t="shared" si="130"/>
        <v>216297168.09252146</v>
      </c>
      <c r="Z208" s="182">
        <f t="shared" si="126"/>
        <v>2324195.5758465659</v>
      </c>
      <c r="AA208" s="182">
        <f t="shared" si="126"/>
        <v>1528442.4213002715</v>
      </c>
      <c r="AB208" s="183">
        <f t="shared" si="126"/>
        <v>21412.601646589974</v>
      </c>
      <c r="AC208" s="101"/>
      <c r="AD208" s="182">
        <f t="shared" si="131"/>
        <v>215939412.09252146</v>
      </c>
      <c r="AE208" s="182">
        <f t="shared" si="127"/>
        <v>2092075.5758465659</v>
      </c>
      <c r="AF208" s="182">
        <f t="shared" si="127"/>
        <v>1242954.4213002715</v>
      </c>
      <c r="AG208" s="184">
        <f t="shared" si="127"/>
        <v>-197505.39835341001</v>
      </c>
    </row>
    <row r="209" spans="13:33" ht="28.8" x14ac:dyDescent="0.3">
      <c r="M209" s="222" t="s">
        <v>926</v>
      </c>
      <c r="O209" s="182">
        <f t="shared" ref="O209:R211" si="133">O79*O134</f>
        <v>231205077.63152745</v>
      </c>
      <c r="P209" s="182">
        <f t="shared" si="133"/>
        <v>2502786.2586108581</v>
      </c>
      <c r="Q209" s="182">
        <f t="shared" si="133"/>
        <v>1654435.4265502843</v>
      </c>
      <c r="R209" s="183">
        <f t="shared" si="133"/>
        <v>38926.370172002695</v>
      </c>
      <c r="T209" s="182">
        <f t="shared" si="129"/>
        <v>231190933.63152745</v>
      </c>
      <c r="U209" s="182">
        <f t="shared" si="125"/>
        <v>2492722.2586108581</v>
      </c>
      <c r="V209" s="182">
        <f t="shared" si="125"/>
        <v>1642638.4265502843</v>
      </c>
      <c r="W209" s="183">
        <f t="shared" si="125"/>
        <v>29291.370172002695</v>
      </c>
      <c r="Y209" s="182">
        <f t="shared" si="130"/>
        <v>231179523.63152745</v>
      </c>
      <c r="Z209" s="182">
        <f t="shared" si="126"/>
        <v>2486206.2586108581</v>
      </c>
      <c r="AA209" s="182">
        <f t="shared" si="126"/>
        <v>1634043.4265502843</v>
      </c>
      <c r="AB209" s="183">
        <f t="shared" si="126"/>
        <v>23289.370172002695</v>
      </c>
      <c r="AC209" s="101"/>
      <c r="AD209" s="182">
        <f t="shared" si="131"/>
        <v>230821767.63152745</v>
      </c>
      <c r="AE209" s="182">
        <f t="shared" si="127"/>
        <v>2254086.2586108581</v>
      </c>
      <c r="AF209" s="182">
        <f t="shared" si="127"/>
        <v>1348555.4265502843</v>
      </c>
      <c r="AG209" s="184">
        <f t="shared" si="127"/>
        <v>-195628.6298279973</v>
      </c>
    </row>
    <row r="210" spans="13:33" x14ac:dyDescent="0.3">
      <c r="M210" s="222"/>
      <c r="O210" s="182">
        <f t="shared" si="133"/>
        <v>239859739.77574933</v>
      </c>
      <c r="P210" s="182">
        <f t="shared" si="133"/>
        <v>2597001.701818401</v>
      </c>
      <c r="Q210" s="182">
        <f t="shared" si="133"/>
        <v>1715846.4726802928</v>
      </c>
      <c r="R210" s="183">
        <f t="shared" si="133"/>
        <v>40017.783252935027</v>
      </c>
      <c r="T210" s="182">
        <f t="shared" si="129"/>
        <v>239845595.77574933</v>
      </c>
      <c r="U210" s="182">
        <f t="shared" si="125"/>
        <v>2586937.701818401</v>
      </c>
      <c r="V210" s="182">
        <f t="shared" si="125"/>
        <v>1704049.4726802928</v>
      </c>
      <c r="W210" s="183">
        <f t="shared" si="125"/>
        <v>30382.783252935027</v>
      </c>
      <c r="Y210" s="182">
        <f t="shared" si="130"/>
        <v>239834185.77574933</v>
      </c>
      <c r="Z210" s="182">
        <f t="shared" si="126"/>
        <v>2580421.701818401</v>
      </c>
      <c r="AA210" s="182">
        <f t="shared" si="126"/>
        <v>1695454.4726802928</v>
      </c>
      <c r="AB210" s="183">
        <f t="shared" si="126"/>
        <v>24380.783252935027</v>
      </c>
      <c r="AC210" s="101"/>
      <c r="AD210" s="182">
        <f t="shared" si="131"/>
        <v>239476429.77574933</v>
      </c>
      <c r="AE210" s="182">
        <f t="shared" si="127"/>
        <v>2348301.701818401</v>
      </c>
      <c r="AF210" s="182">
        <f t="shared" si="127"/>
        <v>1409966.4726802928</v>
      </c>
      <c r="AG210" s="184">
        <f t="shared" si="127"/>
        <v>-194537.21674706496</v>
      </c>
    </row>
    <row r="211" spans="13:33" x14ac:dyDescent="0.3">
      <c r="M211" s="111"/>
      <c r="N211" s="8"/>
      <c r="O211" s="194">
        <f t="shared" si="133"/>
        <v>242679602.71141699</v>
      </c>
      <c r="P211" s="194">
        <f t="shared" si="133"/>
        <v>2627698.9874941716</v>
      </c>
      <c r="Q211" s="194">
        <f t="shared" si="133"/>
        <v>1735855.4262288951</v>
      </c>
      <c r="R211" s="193">
        <f t="shared" si="133"/>
        <v>40373.387578457827</v>
      </c>
      <c r="T211" s="194">
        <f t="shared" si="129"/>
        <v>242665458.71141699</v>
      </c>
      <c r="U211" s="194">
        <f t="shared" si="125"/>
        <v>2617634.9874941716</v>
      </c>
      <c r="V211" s="194">
        <f t="shared" si="125"/>
        <v>1724058.4262288951</v>
      </c>
      <c r="W211" s="193">
        <f t="shared" si="125"/>
        <v>30738.387578457827</v>
      </c>
      <c r="Y211" s="194">
        <f t="shared" si="130"/>
        <v>242654048.71141699</v>
      </c>
      <c r="Z211" s="194">
        <f t="shared" si="126"/>
        <v>2611118.9874941716</v>
      </c>
      <c r="AA211" s="194">
        <f t="shared" si="126"/>
        <v>1715463.4262288951</v>
      </c>
      <c r="AB211" s="193">
        <f t="shared" si="126"/>
        <v>24736.387578457827</v>
      </c>
      <c r="AC211" s="101"/>
      <c r="AD211" s="194">
        <f t="shared" si="131"/>
        <v>242296292.71141699</v>
      </c>
      <c r="AE211" s="194">
        <f t="shared" si="127"/>
        <v>2378998.9874941716</v>
      </c>
      <c r="AF211" s="194">
        <f t="shared" si="127"/>
        <v>1429975.4262288951</v>
      </c>
      <c r="AG211" s="197">
        <f t="shared" si="127"/>
        <v>-194181.61242154217</v>
      </c>
    </row>
    <row r="212" spans="13:33" x14ac:dyDescent="0.3">
      <c r="M212" s="237"/>
      <c r="N212" s="207"/>
      <c r="O212" s="182">
        <f>O82*O133</f>
        <v>4927170.5757481121</v>
      </c>
      <c r="P212" s="183">
        <f t="shared" ref="P212:R212" si="134">P82*P133</f>
        <v>53315.714734803449</v>
      </c>
      <c r="Q212" s="183">
        <f t="shared" si="134"/>
        <v>35277.715228049907</v>
      </c>
      <c r="R212" s="184">
        <f t="shared" si="134"/>
        <v>843.8767102708249</v>
      </c>
      <c r="T212" s="182">
        <f t="shared" si="129"/>
        <v>4913026.5757481121</v>
      </c>
      <c r="U212" s="183">
        <f t="shared" si="125"/>
        <v>43251.714734803449</v>
      </c>
      <c r="V212" s="183">
        <f t="shared" si="125"/>
        <v>23480.715228049907</v>
      </c>
      <c r="W212" s="184">
        <f t="shared" si="125"/>
        <v>-8791.1232897291757</v>
      </c>
      <c r="Y212" s="182">
        <f t="shared" si="130"/>
        <v>4901616.5757481121</v>
      </c>
      <c r="Z212" s="183">
        <f t="shared" si="126"/>
        <v>36735.714734803449</v>
      </c>
      <c r="AA212" s="183">
        <f t="shared" si="126"/>
        <v>14885.715228049907</v>
      </c>
      <c r="AB212" s="184">
        <f t="shared" si="126"/>
        <v>-14793.123289729176</v>
      </c>
      <c r="AC212" s="101"/>
      <c r="AD212" s="182">
        <f t="shared" si="131"/>
        <v>4543860.5757481121</v>
      </c>
      <c r="AE212" s="184">
        <f t="shared" si="127"/>
        <v>-195384.28526519655</v>
      </c>
      <c r="AF212" s="184">
        <f t="shared" si="127"/>
        <v>-270602.2847719501</v>
      </c>
      <c r="AG212" s="184">
        <f t="shared" si="127"/>
        <v>-233711.12328972918</v>
      </c>
    </row>
    <row r="213" spans="13:33" ht="28.8" x14ac:dyDescent="0.3">
      <c r="M213" s="222" t="s">
        <v>927</v>
      </c>
      <c r="O213" s="182">
        <f t="shared" ref="O213:R215" si="135">O83*O134</f>
        <v>5266145.1577998744</v>
      </c>
      <c r="P213" s="183">
        <f t="shared" si="135"/>
        <v>57005.823020014795</v>
      </c>
      <c r="Q213" s="183">
        <f t="shared" si="135"/>
        <v>37682.983434756112</v>
      </c>
      <c r="R213" s="184">
        <f t="shared" si="135"/>
        <v>886.62376229778988</v>
      </c>
      <c r="T213" s="182">
        <f t="shared" si="129"/>
        <v>5252001.1577998744</v>
      </c>
      <c r="U213" s="183">
        <f t="shared" si="125"/>
        <v>46941.823020014795</v>
      </c>
      <c r="V213" s="183">
        <f t="shared" si="125"/>
        <v>25885.983434756112</v>
      </c>
      <c r="W213" s="184">
        <f t="shared" si="125"/>
        <v>-8748.3762377022103</v>
      </c>
      <c r="Y213" s="182">
        <f t="shared" si="130"/>
        <v>5240591.1577998744</v>
      </c>
      <c r="Z213" s="183">
        <f t="shared" si="126"/>
        <v>40425.823020014795</v>
      </c>
      <c r="AA213" s="183">
        <f t="shared" si="126"/>
        <v>17290.983434756112</v>
      </c>
      <c r="AB213" s="184">
        <f t="shared" si="126"/>
        <v>-14750.37623770221</v>
      </c>
      <c r="AC213" s="101"/>
      <c r="AD213" s="182">
        <f t="shared" si="131"/>
        <v>4882835.1577998744</v>
      </c>
      <c r="AE213" s="184">
        <f t="shared" si="127"/>
        <v>-191694.1769799852</v>
      </c>
      <c r="AF213" s="184">
        <f t="shared" si="127"/>
        <v>-268197.01656524389</v>
      </c>
      <c r="AG213" s="184">
        <f t="shared" si="127"/>
        <v>-233668.37623770221</v>
      </c>
    </row>
    <row r="214" spans="13:33" x14ac:dyDescent="0.3">
      <c r="M214" s="222"/>
      <c r="O214" s="182">
        <f t="shared" si="135"/>
        <v>5463271.9147468982</v>
      </c>
      <c r="P214" s="183">
        <f t="shared" si="135"/>
        <v>59151.762915106934</v>
      </c>
      <c r="Q214" s="183">
        <f t="shared" si="135"/>
        <v>39081.739407271431</v>
      </c>
      <c r="R214" s="184">
        <f t="shared" si="135"/>
        <v>911.48281716885595</v>
      </c>
      <c r="T214" s="182">
        <f t="shared" si="129"/>
        <v>5449127.9147468982</v>
      </c>
      <c r="U214" s="183">
        <f t="shared" si="125"/>
        <v>49087.762915106934</v>
      </c>
      <c r="V214" s="183">
        <f t="shared" si="125"/>
        <v>27284.739407271431</v>
      </c>
      <c r="W214" s="184">
        <f t="shared" si="125"/>
        <v>-8723.5171828311431</v>
      </c>
      <c r="Y214" s="182">
        <f t="shared" si="130"/>
        <v>5437717.9147468982</v>
      </c>
      <c r="Z214" s="183">
        <f t="shared" si="126"/>
        <v>42571.762915106934</v>
      </c>
      <c r="AA214" s="183">
        <f t="shared" si="126"/>
        <v>18689.739407271431</v>
      </c>
      <c r="AB214" s="184">
        <f t="shared" si="126"/>
        <v>-14725.517182831143</v>
      </c>
      <c r="AC214" s="101"/>
      <c r="AD214" s="182">
        <f t="shared" si="131"/>
        <v>5079961.9147468982</v>
      </c>
      <c r="AE214" s="184">
        <f t="shared" si="127"/>
        <v>-189548.23708489307</v>
      </c>
      <c r="AF214" s="184">
        <f t="shared" si="127"/>
        <v>-266798.26059272856</v>
      </c>
      <c r="AG214" s="184">
        <f t="shared" si="127"/>
        <v>-233643.51718283116</v>
      </c>
    </row>
    <row r="215" spans="13:33" x14ac:dyDescent="0.3">
      <c r="M215" s="111"/>
      <c r="N215" s="8"/>
      <c r="O215" s="194">
        <f t="shared" si="135"/>
        <v>5527499.7755553536</v>
      </c>
      <c r="P215" s="193">
        <f t="shared" si="135"/>
        <v>59850.953278809451</v>
      </c>
      <c r="Q215" s="193">
        <f t="shared" si="135"/>
        <v>39537.482226252876</v>
      </c>
      <c r="R215" s="197">
        <f t="shared" si="135"/>
        <v>919.58239705753419</v>
      </c>
      <c r="T215" s="194">
        <f t="shared" si="129"/>
        <v>5513355.7755553536</v>
      </c>
      <c r="U215" s="193">
        <f t="shared" si="125"/>
        <v>49786.953278809451</v>
      </c>
      <c r="V215" s="193">
        <f t="shared" si="125"/>
        <v>27740.482226252876</v>
      </c>
      <c r="W215" s="197">
        <f t="shared" si="125"/>
        <v>-8715.4176029424652</v>
      </c>
      <c r="Y215" s="194">
        <f t="shared" si="130"/>
        <v>5501945.7755553536</v>
      </c>
      <c r="Z215" s="193">
        <f t="shared" si="126"/>
        <v>43270.953278809451</v>
      </c>
      <c r="AA215" s="193">
        <f t="shared" si="126"/>
        <v>19145.482226252876</v>
      </c>
      <c r="AB215" s="197">
        <f t="shared" si="126"/>
        <v>-14717.417602942465</v>
      </c>
      <c r="AC215" s="101"/>
      <c r="AD215" s="194">
        <f t="shared" si="131"/>
        <v>5144189.7755553536</v>
      </c>
      <c r="AE215" s="197">
        <f t="shared" si="127"/>
        <v>-188849.04672119056</v>
      </c>
      <c r="AF215" s="197">
        <f t="shared" si="127"/>
        <v>-266342.51777374709</v>
      </c>
      <c r="AG215" s="197">
        <f t="shared" si="127"/>
        <v>-233635.41760294247</v>
      </c>
    </row>
    <row r="216" spans="13:33" x14ac:dyDescent="0.3">
      <c r="M216" s="237"/>
      <c r="N216" s="207"/>
      <c r="O216" s="182">
        <f>O86*O133</f>
        <v>1616280.8000026646</v>
      </c>
      <c r="P216" s="183">
        <f t="shared" ref="P216:R216" si="136">P86*P133</f>
        <v>17489.381530331528</v>
      </c>
      <c r="Q216" s="183">
        <f t="shared" si="136"/>
        <v>11572.299540776768</v>
      </c>
      <c r="R216" s="184">
        <f t="shared" si="136"/>
        <v>276.82048011358989</v>
      </c>
      <c r="T216" s="182">
        <f t="shared" si="129"/>
        <v>1602136.8000026646</v>
      </c>
      <c r="U216" s="184">
        <f t="shared" si="125"/>
        <v>7425.3815303315278</v>
      </c>
      <c r="V216" s="184">
        <f t="shared" si="125"/>
        <v>-224.70045922323152</v>
      </c>
      <c r="W216" s="184">
        <f t="shared" si="125"/>
        <v>-9358.1795198864093</v>
      </c>
      <c r="Y216" s="182">
        <f t="shared" si="130"/>
        <v>1590726.8000026646</v>
      </c>
      <c r="Z216" s="184">
        <f t="shared" si="126"/>
        <v>909.38153033152776</v>
      </c>
      <c r="AA216" s="184">
        <f t="shared" si="126"/>
        <v>-8819.7004592232315</v>
      </c>
      <c r="AB216" s="184">
        <f t="shared" si="126"/>
        <v>-15360.179519886409</v>
      </c>
      <c r="AC216" s="101"/>
      <c r="AD216" s="182">
        <f t="shared" si="131"/>
        <v>1232970.8000026646</v>
      </c>
      <c r="AE216" s="184">
        <f t="shared" si="127"/>
        <v>-231210.61846966846</v>
      </c>
      <c r="AF216" s="184">
        <f t="shared" si="127"/>
        <v>-294307.70045922324</v>
      </c>
      <c r="AG216" s="184">
        <f t="shared" si="127"/>
        <v>-234278.17951988641</v>
      </c>
    </row>
    <row r="217" spans="13:33" ht="28.8" x14ac:dyDescent="0.3">
      <c r="M217" s="222" t="s">
        <v>928</v>
      </c>
      <c r="O217" s="182">
        <f t="shared" ref="O217:R219" si="137">O87*O134</f>
        <v>1727476.0793696684</v>
      </c>
      <c r="P217" s="183">
        <f t="shared" si="137"/>
        <v>18699.863505661204</v>
      </c>
      <c r="Q217" s="183">
        <f t="shared" si="137"/>
        <v>12361.309939663926</v>
      </c>
      <c r="R217" s="184">
        <f t="shared" si="137"/>
        <v>290.84297809406792</v>
      </c>
      <c r="T217" s="182">
        <f t="shared" si="129"/>
        <v>1713332.0793696684</v>
      </c>
      <c r="U217" s="184">
        <f t="shared" si="125"/>
        <v>8635.8635056612038</v>
      </c>
      <c r="V217" s="184">
        <f t="shared" si="125"/>
        <v>564.30993966392634</v>
      </c>
      <c r="W217" s="184">
        <f t="shared" si="125"/>
        <v>-9344.1570219059322</v>
      </c>
      <c r="Y217" s="182">
        <f t="shared" si="130"/>
        <v>1701922.0793696684</v>
      </c>
      <c r="Z217" s="184">
        <f t="shared" si="126"/>
        <v>2119.8635056612038</v>
      </c>
      <c r="AA217" s="184">
        <f t="shared" si="126"/>
        <v>-8030.6900603360737</v>
      </c>
      <c r="AB217" s="184">
        <f t="shared" si="126"/>
        <v>-15346.157021905932</v>
      </c>
      <c r="AC217" s="101"/>
      <c r="AD217" s="182">
        <f t="shared" si="131"/>
        <v>1344166.0793696684</v>
      </c>
      <c r="AE217" s="184">
        <f t="shared" si="127"/>
        <v>-230000.1364943388</v>
      </c>
      <c r="AF217" s="184">
        <f t="shared" si="127"/>
        <v>-293518.69006033608</v>
      </c>
      <c r="AG217" s="184">
        <f t="shared" si="127"/>
        <v>-234264.15702190594</v>
      </c>
    </row>
    <row r="218" spans="13:33" x14ac:dyDescent="0.3">
      <c r="M218" s="222"/>
      <c r="O218" s="182">
        <f t="shared" si="137"/>
        <v>1792140.4110630946</v>
      </c>
      <c r="P218" s="183">
        <f t="shared" si="137"/>
        <v>19403.80533131447</v>
      </c>
      <c r="Q218" s="183">
        <f t="shared" si="137"/>
        <v>12820.149833170621</v>
      </c>
      <c r="R218" s="184">
        <f t="shared" si="137"/>
        <v>298.99759999656141</v>
      </c>
      <c r="T218" s="182">
        <f t="shared" si="129"/>
        <v>1777996.4110630946</v>
      </c>
      <c r="U218" s="184">
        <f t="shared" si="125"/>
        <v>9339.8053313144701</v>
      </c>
      <c r="V218" s="184">
        <f t="shared" si="125"/>
        <v>1023.1498331706207</v>
      </c>
      <c r="W218" s="184">
        <f t="shared" si="125"/>
        <v>-9336.0024000034391</v>
      </c>
      <c r="Y218" s="182">
        <f t="shared" si="130"/>
        <v>1766586.4110630946</v>
      </c>
      <c r="Z218" s="184">
        <f t="shared" si="126"/>
        <v>2823.8053313144701</v>
      </c>
      <c r="AA218" s="184">
        <f t="shared" si="126"/>
        <v>-7571.8501668293793</v>
      </c>
      <c r="AB218" s="184">
        <f t="shared" si="126"/>
        <v>-15338.002400003439</v>
      </c>
      <c r="AC218" s="101"/>
      <c r="AD218" s="182">
        <f t="shared" si="131"/>
        <v>1408830.4110630946</v>
      </c>
      <c r="AE218" s="184">
        <f t="shared" si="127"/>
        <v>-229296.19466868552</v>
      </c>
      <c r="AF218" s="184">
        <f t="shared" si="127"/>
        <v>-293059.85016682936</v>
      </c>
      <c r="AG218" s="184">
        <f t="shared" si="127"/>
        <v>-234256.00240000343</v>
      </c>
    </row>
    <row r="219" spans="13:33" x14ac:dyDescent="0.3">
      <c r="M219" s="111"/>
      <c r="N219" s="8"/>
      <c r="O219" s="194">
        <f t="shared" si="137"/>
        <v>1813209.3504582339</v>
      </c>
      <c r="P219" s="193">
        <f t="shared" si="137"/>
        <v>19633.163731440018</v>
      </c>
      <c r="Q219" s="193">
        <f t="shared" si="137"/>
        <v>12969.649095827453</v>
      </c>
      <c r="R219" s="197">
        <f t="shared" si="137"/>
        <v>301.65453976775467</v>
      </c>
      <c r="T219" s="194">
        <f t="shared" si="129"/>
        <v>1799065.3504582339</v>
      </c>
      <c r="U219" s="197">
        <f t="shared" si="125"/>
        <v>9569.1637314400177</v>
      </c>
      <c r="V219" s="197">
        <f t="shared" si="125"/>
        <v>1172.6490958274535</v>
      </c>
      <c r="W219" s="197">
        <f t="shared" si="125"/>
        <v>-9333.3454602322454</v>
      </c>
      <c r="Y219" s="194">
        <f t="shared" si="130"/>
        <v>1787655.3504582339</v>
      </c>
      <c r="Z219" s="197">
        <f t="shared" si="126"/>
        <v>3053.1637314400177</v>
      </c>
      <c r="AA219" s="197">
        <f t="shared" si="126"/>
        <v>-7422.3509041725465</v>
      </c>
      <c r="AB219" s="197">
        <f t="shared" si="126"/>
        <v>-15335.345460232245</v>
      </c>
      <c r="AC219" s="101"/>
      <c r="AD219" s="194">
        <f t="shared" si="131"/>
        <v>1429899.3504582339</v>
      </c>
      <c r="AE219" s="197">
        <f t="shared" si="127"/>
        <v>-229066.83626855997</v>
      </c>
      <c r="AF219" s="197">
        <f t="shared" si="127"/>
        <v>-292910.35090417252</v>
      </c>
      <c r="AG219" s="197">
        <f t="shared" si="127"/>
        <v>-234253.34546023223</v>
      </c>
    </row>
    <row r="220" spans="13:33" x14ac:dyDescent="0.3">
      <c r="M220" s="237"/>
      <c r="N220" s="207"/>
      <c r="O220" s="195">
        <f>O90*O133</f>
        <v>245303.20905438007</v>
      </c>
      <c r="P220" s="184">
        <f t="shared" ref="P220:R220" si="138">P90*P133</f>
        <v>2654.3663785152025</v>
      </c>
      <c r="Q220" s="184">
        <f t="shared" si="138"/>
        <v>1756.3298490499856</v>
      </c>
      <c r="R220" s="184">
        <f t="shared" si="138"/>
        <v>42.013090858794989</v>
      </c>
      <c r="T220" s="195">
        <f t="shared" si="129"/>
        <v>231159.20905438007</v>
      </c>
      <c r="U220" s="184">
        <f t="shared" si="129"/>
        <v>-7409.6336214847979</v>
      </c>
      <c r="V220" s="184">
        <f t="shared" si="129"/>
        <v>-10040.670150950014</v>
      </c>
      <c r="W220" s="184">
        <f t="shared" si="129"/>
        <v>-9592.9869091412056</v>
      </c>
      <c r="Y220" s="195">
        <f t="shared" si="130"/>
        <v>219749.20905438007</v>
      </c>
      <c r="Z220" s="184">
        <f t="shared" si="130"/>
        <v>-13925.633621484798</v>
      </c>
      <c r="AA220" s="184">
        <f t="shared" si="130"/>
        <v>-18635.670150950013</v>
      </c>
      <c r="AB220" s="184">
        <f t="shared" si="130"/>
        <v>-15594.986909141206</v>
      </c>
      <c r="AC220" s="101"/>
      <c r="AD220" s="184">
        <f t="shared" si="131"/>
        <v>-138006.79094561993</v>
      </c>
      <c r="AE220" s="184">
        <f t="shared" si="131"/>
        <v>-246045.6336214848</v>
      </c>
      <c r="AF220" s="184">
        <f t="shared" si="131"/>
        <v>-304123.67015095003</v>
      </c>
      <c r="AG220" s="184">
        <f t="shared" si="131"/>
        <v>-234512.98690914121</v>
      </c>
    </row>
    <row r="221" spans="13:33" ht="28.8" x14ac:dyDescent="0.3">
      <c r="M221" s="222" t="s">
        <v>929</v>
      </c>
      <c r="O221" s="195">
        <f t="shared" ref="O221:R223" si="139">O91*O134</f>
        <v>262179.33531930833</v>
      </c>
      <c r="P221" s="184">
        <f t="shared" si="139"/>
        <v>2838.0814316485225</v>
      </c>
      <c r="Q221" s="184">
        <f t="shared" si="139"/>
        <v>1876.0780900882862</v>
      </c>
      <c r="R221" s="184">
        <f t="shared" si="139"/>
        <v>44.141287737433991</v>
      </c>
      <c r="T221" s="195">
        <f t="shared" si="129"/>
        <v>248035.33531930833</v>
      </c>
      <c r="U221" s="184">
        <f t="shared" si="129"/>
        <v>-7225.918568351477</v>
      </c>
      <c r="V221" s="184">
        <f t="shared" si="129"/>
        <v>-9920.9219099117145</v>
      </c>
      <c r="W221" s="184">
        <f t="shared" si="129"/>
        <v>-9590.8587122625668</v>
      </c>
      <c r="Y221" s="195">
        <f t="shared" si="130"/>
        <v>236625.33531930833</v>
      </c>
      <c r="Z221" s="184">
        <f t="shared" si="130"/>
        <v>-13741.918568351477</v>
      </c>
      <c r="AA221" s="184">
        <f t="shared" si="130"/>
        <v>-18515.921909911714</v>
      </c>
      <c r="AB221" s="184">
        <f t="shared" si="130"/>
        <v>-15592.858712262567</v>
      </c>
      <c r="AC221" s="101"/>
      <c r="AD221" s="184">
        <f t="shared" si="131"/>
        <v>-121130.66468069167</v>
      </c>
      <c r="AE221" s="184">
        <f t="shared" si="131"/>
        <v>-245861.91856835148</v>
      </c>
      <c r="AF221" s="184">
        <f t="shared" si="131"/>
        <v>-304003.92190991173</v>
      </c>
      <c r="AG221" s="184">
        <f t="shared" si="131"/>
        <v>-234510.85871226256</v>
      </c>
    </row>
    <row r="222" spans="13:33" x14ac:dyDescent="0.3">
      <c r="M222" s="222"/>
      <c r="O222" s="195">
        <f t="shared" si="139"/>
        <v>271993.45182414353</v>
      </c>
      <c r="P222" s="184">
        <f t="shared" si="139"/>
        <v>2944.9188010091311</v>
      </c>
      <c r="Q222" s="184">
        <f t="shared" si="139"/>
        <v>1945.7162979536372</v>
      </c>
      <c r="R222" s="184">
        <f t="shared" si="139"/>
        <v>45.378916076088686</v>
      </c>
      <c r="T222" s="195">
        <f t="shared" si="129"/>
        <v>257849.45182414353</v>
      </c>
      <c r="U222" s="184">
        <f t="shared" si="129"/>
        <v>-7119.0811989908689</v>
      </c>
      <c r="V222" s="184">
        <f t="shared" si="129"/>
        <v>-9851.283702046363</v>
      </c>
      <c r="W222" s="184">
        <f t="shared" si="129"/>
        <v>-9589.621083923912</v>
      </c>
      <c r="Y222" s="195">
        <f t="shared" si="130"/>
        <v>246439.45182414353</v>
      </c>
      <c r="Z222" s="184">
        <f t="shared" si="130"/>
        <v>-13635.081198990869</v>
      </c>
      <c r="AA222" s="184">
        <f t="shared" si="130"/>
        <v>-18446.283702046363</v>
      </c>
      <c r="AB222" s="184">
        <f t="shared" si="130"/>
        <v>-15591.621083923912</v>
      </c>
      <c r="AC222" s="101"/>
      <c r="AD222" s="184">
        <f t="shared" si="131"/>
        <v>-111316.54817585647</v>
      </c>
      <c r="AE222" s="184">
        <f t="shared" si="131"/>
        <v>-245755.08119899087</v>
      </c>
      <c r="AF222" s="184">
        <f t="shared" si="131"/>
        <v>-303934.28370204638</v>
      </c>
      <c r="AG222" s="184">
        <f t="shared" si="131"/>
        <v>-234509.62108392391</v>
      </c>
    </row>
    <row r="223" spans="13:33" x14ac:dyDescent="0.3">
      <c r="M223" s="111"/>
      <c r="N223" s="8"/>
      <c r="O223" s="196">
        <f t="shared" si="139"/>
        <v>275191.08830227982</v>
      </c>
      <c r="P223" s="197">
        <f t="shared" si="139"/>
        <v>2979.7285639997467</v>
      </c>
      <c r="Q223" s="197">
        <f t="shared" si="139"/>
        <v>1968.4058262094482</v>
      </c>
      <c r="R223" s="197">
        <f t="shared" si="139"/>
        <v>45.7821602723551</v>
      </c>
      <c r="T223" s="196">
        <f t="shared" si="129"/>
        <v>261047.08830227982</v>
      </c>
      <c r="U223" s="197">
        <f t="shared" si="129"/>
        <v>-7084.2714360002537</v>
      </c>
      <c r="V223" s="197">
        <f t="shared" si="129"/>
        <v>-9828.5941737905523</v>
      </c>
      <c r="W223" s="197">
        <f t="shared" si="129"/>
        <v>-9589.2178397276457</v>
      </c>
      <c r="Y223" s="196">
        <f t="shared" si="130"/>
        <v>249637.08830227982</v>
      </c>
      <c r="Z223" s="197">
        <f t="shared" si="130"/>
        <v>-13600.271436000254</v>
      </c>
      <c r="AA223" s="197">
        <f t="shared" si="130"/>
        <v>-18423.594173790552</v>
      </c>
      <c r="AB223" s="197">
        <f t="shared" si="130"/>
        <v>-15591.217839727646</v>
      </c>
      <c r="AC223" s="101"/>
      <c r="AD223" s="197">
        <f t="shared" si="131"/>
        <v>-108118.91169772018</v>
      </c>
      <c r="AE223" s="197">
        <f t="shared" si="131"/>
        <v>-245720.27143600024</v>
      </c>
      <c r="AF223" s="197">
        <f t="shared" si="131"/>
        <v>-303911.59417379054</v>
      </c>
      <c r="AG223" s="197">
        <f t="shared" si="131"/>
        <v>-234509.21783972764</v>
      </c>
    </row>
    <row r="224" spans="13:33" x14ac:dyDescent="0.3">
      <c r="M224" s="237"/>
      <c r="N224" s="207"/>
      <c r="O224" s="184">
        <f>O94*O133</f>
        <v>1407.0929773673806</v>
      </c>
      <c r="P224" s="184">
        <f t="shared" ref="P224:R224" si="140">P94*P133</f>
        <v>15.225810966626399</v>
      </c>
      <c r="Q224" s="184">
        <f t="shared" si="140"/>
        <v>10.074549803345999</v>
      </c>
      <c r="R224" s="184">
        <f t="shared" si="140"/>
        <v>0.24099287299499997</v>
      </c>
      <c r="T224" s="184">
        <f t="shared" si="129"/>
        <v>-12736.907022632618</v>
      </c>
      <c r="U224" s="184">
        <f t="shared" si="129"/>
        <v>-10048.774189033373</v>
      </c>
      <c r="V224" s="184">
        <f t="shared" si="129"/>
        <v>-11786.925450196653</v>
      </c>
      <c r="W224" s="184">
        <f t="shared" si="129"/>
        <v>-9634.7590071270042</v>
      </c>
      <c r="Y224" s="184">
        <f t="shared" si="130"/>
        <v>-24146.907022632618</v>
      </c>
      <c r="Z224" s="184">
        <f t="shared" si="130"/>
        <v>-16564.774189033375</v>
      </c>
      <c r="AA224" s="184">
        <f t="shared" si="130"/>
        <v>-20381.925450196653</v>
      </c>
      <c r="AB224" s="184">
        <f t="shared" si="130"/>
        <v>-15636.759007127004</v>
      </c>
      <c r="AC224" s="101"/>
      <c r="AD224" s="184">
        <f t="shared" si="131"/>
        <v>-381902.9070226326</v>
      </c>
      <c r="AE224" s="184">
        <f t="shared" si="131"/>
        <v>-248684.77418903337</v>
      </c>
      <c r="AF224" s="184">
        <f t="shared" si="131"/>
        <v>-305869.92545019666</v>
      </c>
      <c r="AG224" s="184">
        <f t="shared" si="131"/>
        <v>-234554.759007127</v>
      </c>
    </row>
    <row r="225" spans="1:33" x14ac:dyDescent="0.3">
      <c r="M225" s="222" t="s">
        <v>827</v>
      </c>
      <c r="O225" s="184">
        <f t="shared" ref="O225:R227" si="141">O95*O134</f>
        <v>1503.8967609138144</v>
      </c>
      <c r="P225" s="184">
        <f t="shared" si="141"/>
        <v>16.279625802955195</v>
      </c>
      <c r="Q225" s="184">
        <f t="shared" si="141"/>
        <v>10.761442199359195</v>
      </c>
      <c r="R225" s="184">
        <f t="shared" si="141"/>
        <v>0.25320050327400001</v>
      </c>
      <c r="T225" s="184">
        <f t="shared" si="129"/>
        <v>-12640.103239086186</v>
      </c>
      <c r="U225" s="184">
        <f t="shared" si="129"/>
        <v>-10047.720374197044</v>
      </c>
      <c r="V225" s="184">
        <f t="shared" si="129"/>
        <v>-11786.238557800642</v>
      </c>
      <c r="W225" s="184">
        <f t="shared" si="129"/>
        <v>-9634.7467994967265</v>
      </c>
      <c r="Y225" s="184">
        <f t="shared" si="130"/>
        <v>-24050.103239086187</v>
      </c>
      <c r="Z225" s="184">
        <f t="shared" si="130"/>
        <v>-16563.720374197044</v>
      </c>
      <c r="AA225" s="184">
        <f t="shared" si="130"/>
        <v>-20381.23855780064</v>
      </c>
      <c r="AB225" s="184">
        <f t="shared" si="130"/>
        <v>-15636.746799496726</v>
      </c>
      <c r="AC225" s="101"/>
      <c r="AD225" s="184">
        <f t="shared" si="131"/>
        <v>-381806.10323908617</v>
      </c>
      <c r="AE225" s="184">
        <f t="shared" si="131"/>
        <v>-248683.72037419706</v>
      </c>
      <c r="AF225" s="184">
        <f t="shared" si="131"/>
        <v>-305869.23855780065</v>
      </c>
      <c r="AG225" s="184">
        <f t="shared" si="131"/>
        <v>-234554.74679949673</v>
      </c>
    </row>
    <row r="226" spans="1:33" x14ac:dyDescent="0.3">
      <c r="M226" s="221" t="s">
        <v>925</v>
      </c>
      <c r="O226" s="184">
        <f t="shared" si="141"/>
        <v>1560.1918842685095</v>
      </c>
      <c r="P226" s="184">
        <f t="shared" si="141"/>
        <v>16.892459661620254</v>
      </c>
      <c r="Q226" s="184">
        <f t="shared" si="141"/>
        <v>11.160896546579183</v>
      </c>
      <c r="R226" s="184">
        <f t="shared" si="141"/>
        <v>0.26029970980548001</v>
      </c>
      <c r="T226" s="184">
        <f t="shared" si="129"/>
        <v>-12583.80811573149</v>
      </c>
      <c r="U226" s="184">
        <f t="shared" si="129"/>
        <v>-10047.10754033838</v>
      </c>
      <c r="V226" s="184">
        <f t="shared" si="129"/>
        <v>-11785.839103453422</v>
      </c>
      <c r="W226" s="184">
        <f t="shared" si="129"/>
        <v>-9634.7397002901944</v>
      </c>
      <c r="Y226" s="184">
        <f t="shared" si="130"/>
        <v>-23993.808115731492</v>
      </c>
      <c r="Z226" s="184">
        <f t="shared" si="130"/>
        <v>-16563.10754033838</v>
      </c>
      <c r="AA226" s="184">
        <f t="shared" si="130"/>
        <v>-20380.839103453422</v>
      </c>
      <c r="AB226" s="184">
        <f t="shared" si="130"/>
        <v>-15636.739700290194</v>
      </c>
      <c r="AC226" s="101"/>
      <c r="AD226" s="184">
        <f t="shared" si="131"/>
        <v>-381749.80811573152</v>
      </c>
      <c r="AE226" s="184">
        <f t="shared" si="131"/>
        <v>-248683.10754033839</v>
      </c>
      <c r="AF226" s="184">
        <f t="shared" si="131"/>
        <v>-305868.83910345344</v>
      </c>
      <c r="AG226" s="184">
        <f t="shared" si="131"/>
        <v>-234554.7397002902</v>
      </c>
    </row>
    <row r="227" spans="1:33" x14ac:dyDescent="0.3">
      <c r="A227" s="86"/>
      <c r="M227" s="8"/>
      <c r="N227" s="8"/>
      <c r="O227" s="197">
        <f t="shared" si="141"/>
        <v>1578.5339673170924</v>
      </c>
      <c r="P227" s="197">
        <f t="shared" si="141"/>
        <v>17.092133254300652</v>
      </c>
      <c r="Q227" s="197">
        <f t="shared" si="141"/>
        <v>11.291046804260699</v>
      </c>
      <c r="R227" s="197">
        <f t="shared" si="141"/>
        <v>0.26261277402880556</v>
      </c>
      <c r="T227" s="197">
        <f t="shared" si="129"/>
        <v>-12565.466032682907</v>
      </c>
      <c r="U227" s="197">
        <f t="shared" si="129"/>
        <v>-10046.9078667457</v>
      </c>
      <c r="V227" s="197">
        <f t="shared" si="129"/>
        <v>-11785.708953195739</v>
      </c>
      <c r="W227" s="197">
        <f t="shared" si="129"/>
        <v>-9634.7373872259705</v>
      </c>
      <c r="Y227" s="184">
        <f t="shared" si="130"/>
        <v>-23975.466032682907</v>
      </c>
      <c r="Z227" s="184">
        <f t="shared" si="130"/>
        <v>-16562.9078667457</v>
      </c>
      <c r="AA227" s="184">
        <f t="shared" si="130"/>
        <v>-20380.708953195739</v>
      </c>
      <c r="AB227" s="184">
        <f t="shared" si="130"/>
        <v>-15636.73738722597</v>
      </c>
      <c r="AC227" s="101"/>
      <c r="AD227" s="184">
        <f t="shared" si="131"/>
        <v>-381731.46603268292</v>
      </c>
      <c r="AE227" s="184">
        <f t="shared" si="131"/>
        <v>-248682.90786674569</v>
      </c>
      <c r="AF227" s="184">
        <f t="shared" si="131"/>
        <v>-305868.70895319572</v>
      </c>
      <c r="AG227" s="184">
        <f t="shared" si="131"/>
        <v>-234554.73738722596</v>
      </c>
    </row>
    <row r="229" spans="1:33" x14ac:dyDescent="0.3">
      <c r="M229" s="221" t="s">
        <v>859</v>
      </c>
      <c r="T229" s="221" t="s">
        <v>969</v>
      </c>
      <c r="Y229" s="221" t="s">
        <v>968</v>
      </c>
      <c r="AD229" s="221" t="s">
        <v>970</v>
      </c>
    </row>
    <row r="230" spans="1:33" x14ac:dyDescent="0.3">
      <c r="M230" s="176" t="s">
        <v>823</v>
      </c>
      <c r="N230" s="8"/>
      <c r="O230" s="188" t="s">
        <v>828</v>
      </c>
      <c r="P230" s="188" t="s">
        <v>829</v>
      </c>
      <c r="Q230" s="188" t="s">
        <v>830</v>
      </c>
      <c r="R230" s="188" t="s">
        <v>831</v>
      </c>
      <c r="T230" s="170">
        <f>9511+4633</f>
        <v>14144</v>
      </c>
      <c r="U230" s="170">
        <f>5431+4633</f>
        <v>10064</v>
      </c>
      <c r="V230" s="170">
        <f>7164+4633</f>
        <v>11797</v>
      </c>
      <c r="W230" s="170">
        <f>5002+4633</f>
        <v>9635</v>
      </c>
      <c r="X230" s="8"/>
      <c r="Y230" s="170">
        <f>20921+4633</f>
        <v>25554</v>
      </c>
      <c r="Z230" s="170">
        <f>11947+4633</f>
        <v>16580</v>
      </c>
      <c r="AA230" s="170">
        <f>15759+4633</f>
        <v>20392</v>
      </c>
      <c r="AB230" s="170">
        <f>11004+4633</f>
        <v>15637</v>
      </c>
      <c r="AC230" s="8"/>
      <c r="AD230" s="170">
        <f>Y230*15</f>
        <v>383310</v>
      </c>
      <c r="AE230" s="170">
        <f>Z230*15</f>
        <v>248700</v>
      </c>
      <c r="AF230" s="170">
        <f>AA230*15</f>
        <v>305880</v>
      </c>
      <c r="AG230" s="170">
        <f>AB230*15</f>
        <v>234555</v>
      </c>
    </row>
    <row r="231" spans="1:33" x14ac:dyDescent="0.3">
      <c r="M231" s="225"/>
      <c r="N231" s="207"/>
      <c r="O231" s="182">
        <f>O74*(O133+O137)</f>
        <v>487339334.05829358</v>
      </c>
      <c r="P231" s="182">
        <f t="shared" ref="P231:R231" si="142">P74*(P133+P137)</f>
        <v>6024674.4247088013</v>
      </c>
      <c r="Q231" s="182">
        <f t="shared" si="142"/>
        <v>19259747.932781998</v>
      </c>
      <c r="R231" s="182">
        <f t="shared" si="142"/>
        <v>2360020.6226650001</v>
      </c>
      <c r="T231" s="182">
        <f>O231-T$147</f>
        <v>487325190.05829358</v>
      </c>
      <c r="U231" s="182">
        <f t="shared" ref="U231:W246" si="143">P231-U$147</f>
        <v>6014610.4247088013</v>
      </c>
      <c r="V231" s="182">
        <f t="shared" si="143"/>
        <v>19247950.932781998</v>
      </c>
      <c r="W231" s="182">
        <f t="shared" si="143"/>
        <v>2350385.6226650001</v>
      </c>
      <c r="X231" s="207"/>
      <c r="Y231" s="182">
        <f>O231-Y$230</f>
        <v>487313780.05829358</v>
      </c>
      <c r="Z231" s="182">
        <f t="shared" ref="Z231:AB246" si="144">P231-Z$230</f>
        <v>6008094.4247088013</v>
      </c>
      <c r="AA231" s="182">
        <f t="shared" si="144"/>
        <v>19239355.932781998</v>
      </c>
      <c r="AB231" s="182">
        <f t="shared" si="144"/>
        <v>2344383.6226650001</v>
      </c>
      <c r="AC231" s="207"/>
      <c r="AD231" s="182">
        <f>O231-AD$230</f>
        <v>486956024.05829358</v>
      </c>
      <c r="AE231" s="182">
        <f t="shared" ref="AE231:AG246" si="145">P231-AE$230</f>
        <v>5775974.4247088013</v>
      </c>
      <c r="AF231" s="182">
        <f t="shared" si="145"/>
        <v>18953867.932781998</v>
      </c>
      <c r="AG231" s="182">
        <f t="shared" si="145"/>
        <v>2125465.6226650001</v>
      </c>
    </row>
    <row r="232" spans="1:33" x14ac:dyDescent="0.3">
      <c r="M232" s="222" t="s">
        <v>826</v>
      </c>
      <c r="O232" s="182">
        <f t="shared" ref="O232:R234" si="146">O75*(O134+O138)</f>
        <v>520930275.09860486</v>
      </c>
      <c r="P232" s="182">
        <f t="shared" si="146"/>
        <v>6442866.7283183997</v>
      </c>
      <c r="Q232" s="182">
        <f t="shared" si="146"/>
        <v>20299560.089786395</v>
      </c>
      <c r="R232" s="182">
        <f t="shared" si="146"/>
        <v>2497312.8577579996</v>
      </c>
      <c r="T232" s="182">
        <f>O232-T$147</f>
        <v>520916131.09860486</v>
      </c>
      <c r="U232" s="182">
        <f t="shared" si="143"/>
        <v>6432802.7283183997</v>
      </c>
      <c r="V232" s="182">
        <f t="shared" si="143"/>
        <v>20287763.089786395</v>
      </c>
      <c r="W232" s="182">
        <f t="shared" si="143"/>
        <v>2487677.8577579996</v>
      </c>
      <c r="Y232" s="182">
        <f>O232-Y$230</f>
        <v>520904721.09860486</v>
      </c>
      <c r="Z232" s="182">
        <f t="shared" si="144"/>
        <v>6426286.7283183997</v>
      </c>
      <c r="AA232" s="182">
        <f t="shared" si="144"/>
        <v>20279168.089786395</v>
      </c>
      <c r="AB232" s="182">
        <f t="shared" si="144"/>
        <v>2481675.8577579996</v>
      </c>
      <c r="AC232" s="101"/>
      <c r="AD232" s="182">
        <f>O232-AD$230</f>
        <v>520546965.09860486</v>
      </c>
      <c r="AE232" s="182">
        <f t="shared" si="145"/>
        <v>6194166.7283183997</v>
      </c>
      <c r="AF232" s="182">
        <f t="shared" si="145"/>
        <v>19993680.089786395</v>
      </c>
      <c r="AG232" s="182">
        <f t="shared" si="145"/>
        <v>2262757.8577579996</v>
      </c>
    </row>
    <row r="233" spans="1:33" x14ac:dyDescent="0.3">
      <c r="A233" s="86"/>
      <c r="M233" s="222" t="s">
        <v>924</v>
      </c>
      <c r="O233" s="182">
        <f t="shared" si="146"/>
        <v>540464699.27281654</v>
      </c>
      <c r="P233" s="182">
        <f t="shared" si="146"/>
        <v>6686061.6371867526</v>
      </c>
      <c r="Q233" s="182">
        <f t="shared" si="146"/>
        <v>20904250.851859726</v>
      </c>
      <c r="R233" s="182">
        <f t="shared" si="146"/>
        <v>2577153.5729351602</v>
      </c>
      <c r="T233" s="182">
        <f t="shared" ref="T233:W254" si="147">O233-T$147</f>
        <v>540450555.27281654</v>
      </c>
      <c r="U233" s="182">
        <f t="shared" si="143"/>
        <v>6675997.6371867526</v>
      </c>
      <c r="V233" s="182">
        <f t="shared" si="143"/>
        <v>20892453.851859726</v>
      </c>
      <c r="W233" s="182">
        <f t="shared" si="143"/>
        <v>2567518.5729351602</v>
      </c>
      <c r="Y233" s="182">
        <f t="shared" ref="Y233:AB254" si="148">O233-Y$230</f>
        <v>540439145.27281654</v>
      </c>
      <c r="Z233" s="182">
        <f t="shared" si="144"/>
        <v>6669481.6371867526</v>
      </c>
      <c r="AA233" s="182">
        <f t="shared" si="144"/>
        <v>20883858.851859726</v>
      </c>
      <c r="AB233" s="182">
        <f t="shared" si="144"/>
        <v>2561516.5729351602</v>
      </c>
      <c r="AC233" s="101"/>
      <c r="AD233" s="182">
        <f t="shared" ref="AD233:AG254" si="149">O233-AD$230</f>
        <v>540081389.27281654</v>
      </c>
      <c r="AE233" s="182">
        <f t="shared" si="145"/>
        <v>6437361.6371867526</v>
      </c>
      <c r="AF233" s="182">
        <f t="shared" si="145"/>
        <v>20598370.851859726</v>
      </c>
      <c r="AG233" s="182">
        <f t="shared" si="145"/>
        <v>2342598.5729351602</v>
      </c>
    </row>
    <row r="234" spans="1:33" x14ac:dyDescent="0.3">
      <c r="M234" s="111"/>
      <c r="N234" s="8"/>
      <c r="O234" s="194">
        <f t="shared" si="146"/>
        <v>546829407.42439318</v>
      </c>
      <c r="P234" s="194">
        <f t="shared" si="146"/>
        <v>6765299.4281291505</v>
      </c>
      <c r="Q234" s="194">
        <f t="shared" si="146"/>
        <v>21101271.259946901</v>
      </c>
      <c r="R234" s="194">
        <f t="shared" si="146"/>
        <v>2603167.283202935</v>
      </c>
      <c r="T234" s="194">
        <f t="shared" si="147"/>
        <v>546815263.42439318</v>
      </c>
      <c r="U234" s="194">
        <f t="shared" si="143"/>
        <v>6755235.4281291505</v>
      </c>
      <c r="V234" s="194">
        <f t="shared" si="143"/>
        <v>21089474.259946901</v>
      </c>
      <c r="W234" s="194">
        <f t="shared" si="143"/>
        <v>2593532.283202935</v>
      </c>
      <c r="Y234" s="194">
        <f t="shared" si="148"/>
        <v>546803853.42439318</v>
      </c>
      <c r="Z234" s="194">
        <f t="shared" si="144"/>
        <v>6748719.4281291505</v>
      </c>
      <c r="AA234" s="194">
        <f t="shared" si="144"/>
        <v>21080879.259946901</v>
      </c>
      <c r="AB234" s="194">
        <f t="shared" si="144"/>
        <v>2587530.283202935</v>
      </c>
      <c r="AC234" s="101"/>
      <c r="AD234" s="194">
        <f t="shared" si="149"/>
        <v>546446097.42439318</v>
      </c>
      <c r="AE234" s="194">
        <f t="shared" si="145"/>
        <v>6516599.4281291505</v>
      </c>
      <c r="AF234" s="194">
        <f t="shared" si="145"/>
        <v>20795391.259946901</v>
      </c>
      <c r="AG234" s="194">
        <f t="shared" si="145"/>
        <v>2368612.283202935</v>
      </c>
    </row>
    <row r="235" spans="1:33" x14ac:dyDescent="0.3">
      <c r="M235" s="237"/>
      <c r="N235" s="207"/>
      <c r="O235" s="182">
        <f>O78*(O133+O137)</f>
        <v>224766748.93969372</v>
      </c>
      <c r="P235" s="182">
        <f t="shared" ref="P235:R235" si="150">P78*(P133+P137)</f>
        <v>2778652.1407687962</v>
      </c>
      <c r="Q235" s="182">
        <f t="shared" si="150"/>
        <v>8882826.8635742515</v>
      </c>
      <c r="R235" s="182">
        <f t="shared" si="150"/>
        <v>1088469.8314205701</v>
      </c>
      <c r="T235" s="182">
        <f t="shared" si="147"/>
        <v>224752604.93969372</v>
      </c>
      <c r="U235" s="182">
        <f t="shared" si="143"/>
        <v>2768588.1407687962</v>
      </c>
      <c r="V235" s="182">
        <f t="shared" si="143"/>
        <v>8871029.8635742515</v>
      </c>
      <c r="W235" s="182">
        <f t="shared" si="143"/>
        <v>1078834.8314205701</v>
      </c>
      <c r="Y235" s="182">
        <f t="shared" si="148"/>
        <v>224741194.93969372</v>
      </c>
      <c r="Z235" s="182">
        <f t="shared" si="144"/>
        <v>2762072.1407687962</v>
      </c>
      <c r="AA235" s="182">
        <f t="shared" si="144"/>
        <v>8862434.8635742515</v>
      </c>
      <c r="AB235" s="182">
        <f t="shared" si="144"/>
        <v>1072832.8314205701</v>
      </c>
      <c r="AC235" s="101"/>
      <c r="AD235" s="182">
        <f t="shared" si="149"/>
        <v>224383438.93969372</v>
      </c>
      <c r="AE235" s="182">
        <f t="shared" si="145"/>
        <v>2529952.1407687962</v>
      </c>
      <c r="AF235" s="182">
        <f t="shared" si="145"/>
        <v>8576946.8635742515</v>
      </c>
      <c r="AG235" s="195">
        <f t="shared" si="145"/>
        <v>853914.83142057015</v>
      </c>
    </row>
    <row r="236" spans="1:33" ht="28.8" x14ac:dyDescent="0.3">
      <c r="M236" s="222" t="s">
        <v>926</v>
      </c>
      <c r="O236" s="182">
        <f t="shared" ref="O236:R238" si="151">O79*(O134+O138)</f>
        <v>240259294.03877777</v>
      </c>
      <c r="P236" s="182">
        <f t="shared" si="151"/>
        <v>2971527.4495011866</v>
      </c>
      <c r="Q236" s="182">
        <f t="shared" si="151"/>
        <v>9362400.7081305627</v>
      </c>
      <c r="R236" s="182">
        <f t="shared" si="151"/>
        <v>1151790.6577522822</v>
      </c>
      <c r="T236" s="182">
        <f t="shared" si="147"/>
        <v>240245150.03877777</v>
      </c>
      <c r="U236" s="182">
        <f t="shared" si="143"/>
        <v>2961463.4495011866</v>
      </c>
      <c r="V236" s="182">
        <f t="shared" si="143"/>
        <v>9350603.7081305627</v>
      </c>
      <c r="W236" s="182">
        <f t="shared" si="143"/>
        <v>1142155.6577522822</v>
      </c>
      <c r="Y236" s="182">
        <f t="shared" si="148"/>
        <v>240233740.03877777</v>
      </c>
      <c r="Z236" s="182">
        <f t="shared" si="144"/>
        <v>2954947.4495011866</v>
      </c>
      <c r="AA236" s="182">
        <f t="shared" si="144"/>
        <v>9342008.7081305627</v>
      </c>
      <c r="AB236" s="182">
        <f t="shared" si="144"/>
        <v>1136153.6577522822</v>
      </c>
      <c r="AC236" s="101"/>
      <c r="AD236" s="182">
        <f t="shared" si="149"/>
        <v>239875984.03877777</v>
      </c>
      <c r="AE236" s="182">
        <f t="shared" si="145"/>
        <v>2722827.4495011866</v>
      </c>
      <c r="AF236" s="182">
        <f t="shared" si="145"/>
        <v>9056520.7081305627</v>
      </c>
      <c r="AG236" s="195">
        <f t="shared" si="145"/>
        <v>917235.65775228222</v>
      </c>
    </row>
    <row r="237" spans="1:33" x14ac:dyDescent="0.3">
      <c r="M237" s="222"/>
      <c r="O237" s="182">
        <f t="shared" si="151"/>
        <v>249268804.88101432</v>
      </c>
      <c r="P237" s="182">
        <f t="shared" si="151"/>
        <v>3083691.8598101768</v>
      </c>
      <c r="Q237" s="182">
        <f t="shared" si="151"/>
        <v>9641291.3438879289</v>
      </c>
      <c r="R237" s="182">
        <f t="shared" si="151"/>
        <v>1188614.1536805711</v>
      </c>
      <c r="T237" s="182">
        <f t="shared" si="147"/>
        <v>249254660.88101432</v>
      </c>
      <c r="U237" s="182">
        <f t="shared" si="143"/>
        <v>3073627.8598101768</v>
      </c>
      <c r="V237" s="182">
        <f t="shared" si="143"/>
        <v>9629494.3438879289</v>
      </c>
      <c r="W237" s="182">
        <f t="shared" si="143"/>
        <v>1178979.1536805711</v>
      </c>
      <c r="Y237" s="182">
        <f t="shared" si="148"/>
        <v>249243250.88101432</v>
      </c>
      <c r="Z237" s="182">
        <f t="shared" si="144"/>
        <v>3067111.8598101768</v>
      </c>
      <c r="AA237" s="182">
        <f t="shared" si="144"/>
        <v>9620899.3438879289</v>
      </c>
      <c r="AB237" s="182">
        <f t="shared" si="144"/>
        <v>1172977.1536805711</v>
      </c>
      <c r="AC237" s="101"/>
      <c r="AD237" s="182">
        <f t="shared" si="149"/>
        <v>248885494.88101432</v>
      </c>
      <c r="AE237" s="182">
        <f t="shared" si="145"/>
        <v>2834991.8598101768</v>
      </c>
      <c r="AF237" s="182">
        <f t="shared" si="145"/>
        <v>9335411.3438879289</v>
      </c>
      <c r="AG237" s="195">
        <f t="shared" si="145"/>
        <v>954059.15368057112</v>
      </c>
    </row>
    <row r="238" spans="1:33" x14ac:dyDescent="0.3">
      <c r="M238" s="111"/>
      <c r="N238" s="8"/>
      <c r="O238" s="194">
        <f t="shared" si="151"/>
        <v>252204284.65701923</v>
      </c>
      <c r="P238" s="194">
        <f t="shared" si="151"/>
        <v>3120237.2798463027</v>
      </c>
      <c r="Q238" s="194">
        <f t="shared" si="151"/>
        <v>9732159.5203426294</v>
      </c>
      <c r="R238" s="194">
        <f t="shared" si="151"/>
        <v>1200611.9890205918</v>
      </c>
      <c r="T238" s="194">
        <f t="shared" si="147"/>
        <v>252190140.65701923</v>
      </c>
      <c r="U238" s="194">
        <f t="shared" si="143"/>
        <v>3110173.2798463027</v>
      </c>
      <c r="V238" s="194">
        <f t="shared" si="143"/>
        <v>9720362.5203426294</v>
      </c>
      <c r="W238" s="194">
        <f t="shared" si="143"/>
        <v>1190976.9890205918</v>
      </c>
      <c r="Y238" s="194">
        <f t="shared" si="148"/>
        <v>252178730.65701923</v>
      </c>
      <c r="Z238" s="194">
        <f t="shared" si="144"/>
        <v>3103657.2798463027</v>
      </c>
      <c r="AA238" s="194">
        <f t="shared" si="144"/>
        <v>9711767.5203426294</v>
      </c>
      <c r="AB238" s="194">
        <f t="shared" si="144"/>
        <v>1184974.9890205918</v>
      </c>
      <c r="AC238" s="101"/>
      <c r="AD238" s="194">
        <f t="shared" si="149"/>
        <v>251820974.65701923</v>
      </c>
      <c r="AE238" s="194">
        <f t="shared" si="145"/>
        <v>2871537.2798463027</v>
      </c>
      <c r="AF238" s="194">
        <f t="shared" si="145"/>
        <v>9426279.5203426294</v>
      </c>
      <c r="AG238" s="196">
        <f t="shared" si="145"/>
        <v>966056.98902059183</v>
      </c>
    </row>
    <row r="239" spans="1:33" x14ac:dyDescent="0.3">
      <c r="M239" s="237"/>
      <c r="N239" s="207"/>
      <c r="O239" s="182">
        <f>O82*(O133+O137)</f>
        <v>5119499.7042823751</v>
      </c>
      <c r="P239" s="183">
        <f t="shared" ref="P239:R239" si="152">P82*(P133+P137)</f>
        <v>63289.204831565949</v>
      </c>
      <c r="Q239" s="195">
        <f t="shared" si="152"/>
        <v>202323.65203387491</v>
      </c>
      <c r="R239" s="183">
        <f t="shared" si="152"/>
        <v>24792.016641095826</v>
      </c>
      <c r="T239" s="182">
        <f t="shared" si="147"/>
        <v>5105355.7042823751</v>
      </c>
      <c r="U239" s="183">
        <f t="shared" si="143"/>
        <v>53225.204831565949</v>
      </c>
      <c r="V239" s="195">
        <f t="shared" si="143"/>
        <v>190526.65203387491</v>
      </c>
      <c r="W239" s="183">
        <f t="shared" si="143"/>
        <v>15157.016641095826</v>
      </c>
      <c r="Y239" s="182">
        <f t="shared" si="148"/>
        <v>5093945.7042823751</v>
      </c>
      <c r="Z239" s="183">
        <f t="shared" si="144"/>
        <v>46709.204831565949</v>
      </c>
      <c r="AA239" s="195">
        <f t="shared" si="144"/>
        <v>181931.65203387491</v>
      </c>
      <c r="AB239" s="183">
        <f t="shared" si="144"/>
        <v>9155.0166410958263</v>
      </c>
      <c r="AC239" s="101"/>
      <c r="AD239" s="182">
        <f t="shared" si="149"/>
        <v>4736189.7042823751</v>
      </c>
      <c r="AE239" s="184">
        <f t="shared" si="145"/>
        <v>-185410.79516843404</v>
      </c>
      <c r="AF239" s="184">
        <f t="shared" si="145"/>
        <v>-103556.34796612509</v>
      </c>
      <c r="AG239" s="184">
        <f t="shared" si="145"/>
        <v>-209762.98335890417</v>
      </c>
    </row>
    <row r="240" spans="1:33" ht="28.8" x14ac:dyDescent="0.3">
      <c r="M240" s="222" t="s">
        <v>927</v>
      </c>
      <c r="O240" s="182">
        <f t="shared" ref="O240:R242" si="153">O83*(O134+O138)</f>
        <v>5472372.5399108445</v>
      </c>
      <c r="P240" s="183">
        <f t="shared" si="153"/>
        <v>67682.314980984796</v>
      </c>
      <c r="Q240" s="195">
        <f t="shared" si="153"/>
        <v>213246.87874320606</v>
      </c>
      <c r="R240" s="183">
        <f t="shared" si="153"/>
        <v>26234.27157074778</v>
      </c>
      <c r="T240" s="182">
        <f t="shared" si="147"/>
        <v>5458228.5399108445</v>
      </c>
      <c r="U240" s="183">
        <f t="shared" si="143"/>
        <v>57618.314980984796</v>
      </c>
      <c r="V240" s="195">
        <f t="shared" si="143"/>
        <v>201449.87874320606</v>
      </c>
      <c r="W240" s="183">
        <f t="shared" si="143"/>
        <v>16599.27157074778</v>
      </c>
      <c r="Y240" s="182">
        <f t="shared" si="148"/>
        <v>5446818.5399108445</v>
      </c>
      <c r="Z240" s="183">
        <f t="shared" si="144"/>
        <v>51102.314980984796</v>
      </c>
      <c r="AA240" s="195">
        <f t="shared" si="144"/>
        <v>192854.87874320606</v>
      </c>
      <c r="AB240" s="183">
        <f t="shared" si="144"/>
        <v>10597.27157074778</v>
      </c>
      <c r="AC240" s="101"/>
      <c r="AD240" s="182">
        <f t="shared" si="149"/>
        <v>5089062.5399108445</v>
      </c>
      <c r="AE240" s="184">
        <f t="shared" si="145"/>
        <v>-181017.68501901522</v>
      </c>
      <c r="AF240" s="184">
        <f t="shared" si="145"/>
        <v>-92633.121256793936</v>
      </c>
      <c r="AG240" s="184">
        <f t="shared" si="145"/>
        <v>-208320.72842925222</v>
      </c>
    </row>
    <row r="241" spans="1:33" x14ac:dyDescent="0.3">
      <c r="M241" s="222"/>
      <c r="O241" s="182">
        <f t="shared" si="153"/>
        <v>5677581.6658609379</v>
      </c>
      <c r="P241" s="183">
        <f t="shared" si="153"/>
        <v>70237.077498646831</v>
      </c>
      <c r="Q241" s="195">
        <f t="shared" si="153"/>
        <v>219599.15519878641</v>
      </c>
      <c r="R241" s="183">
        <f t="shared" si="153"/>
        <v>27072.998283683857</v>
      </c>
      <c r="T241" s="182">
        <f t="shared" si="147"/>
        <v>5663437.6658609379</v>
      </c>
      <c r="U241" s="183">
        <f t="shared" si="143"/>
        <v>60173.077498646831</v>
      </c>
      <c r="V241" s="195">
        <f t="shared" si="143"/>
        <v>207802.15519878641</v>
      </c>
      <c r="W241" s="183">
        <f t="shared" si="143"/>
        <v>17437.998283683857</v>
      </c>
      <c r="Y241" s="182">
        <f t="shared" si="148"/>
        <v>5652027.6658609379</v>
      </c>
      <c r="Z241" s="183">
        <f t="shared" si="144"/>
        <v>53657.077498646831</v>
      </c>
      <c r="AA241" s="195">
        <f t="shared" si="144"/>
        <v>199207.15519878641</v>
      </c>
      <c r="AB241" s="183">
        <f t="shared" si="144"/>
        <v>11435.998283683857</v>
      </c>
      <c r="AC241" s="101"/>
      <c r="AD241" s="182">
        <f t="shared" si="149"/>
        <v>5294271.6658609379</v>
      </c>
      <c r="AE241" s="184">
        <f t="shared" si="145"/>
        <v>-178462.92250135317</v>
      </c>
      <c r="AF241" s="184">
        <f t="shared" si="145"/>
        <v>-86280.844801213592</v>
      </c>
      <c r="AG241" s="184">
        <f t="shared" si="145"/>
        <v>-207482.00171631615</v>
      </c>
    </row>
    <row r="242" spans="1:33" x14ac:dyDescent="0.3">
      <c r="M242" s="111"/>
      <c r="N242" s="8"/>
      <c r="O242" s="194">
        <f t="shared" si="153"/>
        <v>5744442.9249932505</v>
      </c>
      <c r="P242" s="193">
        <f t="shared" si="153"/>
        <v>71069.470492496723</v>
      </c>
      <c r="Q242" s="196">
        <f t="shared" si="153"/>
        <v>221668.8545857422</v>
      </c>
      <c r="R242" s="193">
        <f t="shared" si="153"/>
        <v>27346.272310046828</v>
      </c>
      <c r="T242" s="194">
        <f t="shared" si="147"/>
        <v>5730298.9249932505</v>
      </c>
      <c r="U242" s="193">
        <f t="shared" si="143"/>
        <v>61005.470492496723</v>
      </c>
      <c r="V242" s="196">
        <f t="shared" si="143"/>
        <v>209871.8545857422</v>
      </c>
      <c r="W242" s="193">
        <f t="shared" si="143"/>
        <v>17711.272310046828</v>
      </c>
      <c r="Y242" s="194">
        <f t="shared" si="148"/>
        <v>5718888.9249932505</v>
      </c>
      <c r="Z242" s="193">
        <f t="shared" si="144"/>
        <v>54489.470492496723</v>
      </c>
      <c r="AA242" s="196">
        <f t="shared" si="144"/>
        <v>201276.8545857422</v>
      </c>
      <c r="AB242" s="193">
        <f t="shared" si="144"/>
        <v>11709.272310046828</v>
      </c>
      <c r="AC242" s="101"/>
      <c r="AD242" s="194">
        <f t="shared" si="149"/>
        <v>5361132.9249932505</v>
      </c>
      <c r="AE242" s="197">
        <f t="shared" si="145"/>
        <v>-177630.52950750326</v>
      </c>
      <c r="AF242" s="197">
        <f t="shared" si="145"/>
        <v>-84211.1454142578</v>
      </c>
      <c r="AG242" s="197">
        <f t="shared" si="145"/>
        <v>-207208.72768995317</v>
      </c>
    </row>
    <row r="243" spans="1:33" x14ac:dyDescent="0.3">
      <c r="M243" s="237"/>
      <c r="N243" s="207"/>
      <c r="O243" s="182">
        <f>O86*(O133+O137)</f>
        <v>1679371.3451648797</v>
      </c>
      <c r="P243" s="183">
        <f t="shared" ref="P243:R243" si="154">P86*(P133+P137)</f>
        <v>20761.028067546529</v>
      </c>
      <c r="Q243" s="183">
        <f t="shared" si="154"/>
        <v>66369.091376366763</v>
      </c>
      <c r="R243" s="184">
        <f t="shared" si="154"/>
        <v>8132.6310657035892</v>
      </c>
      <c r="T243" s="182">
        <f t="shared" si="147"/>
        <v>1665227.3451648797</v>
      </c>
      <c r="U243" s="183">
        <f t="shared" si="143"/>
        <v>10697.028067546529</v>
      </c>
      <c r="V243" s="183">
        <f t="shared" si="143"/>
        <v>54572.091376366763</v>
      </c>
      <c r="W243" s="184">
        <f t="shared" si="143"/>
        <v>-1502.3689342964108</v>
      </c>
      <c r="Y243" s="182">
        <f t="shared" si="148"/>
        <v>1653817.3451648797</v>
      </c>
      <c r="Z243" s="183">
        <f t="shared" si="144"/>
        <v>4181.0280675465292</v>
      </c>
      <c r="AA243" s="183">
        <f t="shared" si="144"/>
        <v>45977.091376366763</v>
      </c>
      <c r="AB243" s="184">
        <f t="shared" si="144"/>
        <v>-7504.3689342964108</v>
      </c>
      <c r="AC243" s="101"/>
      <c r="AD243" s="182">
        <f t="shared" si="149"/>
        <v>1296061.3451648797</v>
      </c>
      <c r="AE243" s="184">
        <f t="shared" si="145"/>
        <v>-227938.97193245348</v>
      </c>
      <c r="AF243" s="184">
        <f t="shared" si="145"/>
        <v>-239510.90862363324</v>
      </c>
      <c r="AG243" s="184">
        <f t="shared" si="145"/>
        <v>-226422.36893429642</v>
      </c>
    </row>
    <row r="244" spans="1:33" ht="28.8" x14ac:dyDescent="0.3">
      <c r="M244" s="222" t="s">
        <v>928</v>
      </c>
      <c r="O244" s="182">
        <f t="shared" ref="O244:R246" si="155">O87*(O134+O138)</f>
        <v>1795125.7279897924</v>
      </c>
      <c r="P244" s="183">
        <f t="shared" si="155"/>
        <v>22202.118745785207</v>
      </c>
      <c r="Q244" s="183">
        <f t="shared" si="155"/>
        <v>69952.284069403904</v>
      </c>
      <c r="R244" s="184">
        <f t="shared" si="155"/>
        <v>8605.7401078340645</v>
      </c>
      <c r="T244" s="182">
        <f t="shared" si="147"/>
        <v>1780981.7279897924</v>
      </c>
      <c r="U244" s="183">
        <f t="shared" si="143"/>
        <v>12138.118745785207</v>
      </c>
      <c r="V244" s="183">
        <f t="shared" si="143"/>
        <v>58155.284069403904</v>
      </c>
      <c r="W244" s="184">
        <f t="shared" si="143"/>
        <v>-1029.2598921659355</v>
      </c>
      <c r="Y244" s="182">
        <f t="shared" si="148"/>
        <v>1769571.7279897924</v>
      </c>
      <c r="Z244" s="183">
        <f t="shared" si="144"/>
        <v>5622.1187457852066</v>
      </c>
      <c r="AA244" s="183">
        <f t="shared" si="144"/>
        <v>49560.284069403904</v>
      </c>
      <c r="AB244" s="184">
        <f t="shared" si="144"/>
        <v>-7031.2598921659355</v>
      </c>
      <c r="AC244" s="101"/>
      <c r="AD244" s="182">
        <f t="shared" si="149"/>
        <v>1411815.7279897924</v>
      </c>
      <c r="AE244" s="184">
        <f t="shared" si="145"/>
        <v>-226497.88125421479</v>
      </c>
      <c r="AF244" s="184">
        <f t="shared" si="145"/>
        <v>-235927.71593059611</v>
      </c>
      <c r="AG244" s="184">
        <f t="shared" si="145"/>
        <v>-225949.25989216592</v>
      </c>
    </row>
    <row r="245" spans="1:33" x14ac:dyDescent="0.3">
      <c r="M245" s="222"/>
      <c r="O245" s="182">
        <f t="shared" si="155"/>
        <v>1862441.3536941258</v>
      </c>
      <c r="P245" s="183">
        <f t="shared" si="155"/>
        <v>23040.168401745548</v>
      </c>
      <c r="Q245" s="183">
        <f t="shared" si="155"/>
        <v>72036.048435508608</v>
      </c>
      <c r="R245" s="184">
        <f t="shared" si="155"/>
        <v>8880.8712123345613</v>
      </c>
      <c r="T245" s="182">
        <f t="shared" si="147"/>
        <v>1848297.3536941258</v>
      </c>
      <c r="U245" s="183">
        <f t="shared" si="143"/>
        <v>12976.168401745548</v>
      </c>
      <c r="V245" s="183">
        <f t="shared" si="143"/>
        <v>60239.048435508608</v>
      </c>
      <c r="W245" s="184">
        <f t="shared" si="143"/>
        <v>-754.12878766543872</v>
      </c>
      <c r="Y245" s="182">
        <f t="shared" si="148"/>
        <v>1836887.3536941258</v>
      </c>
      <c r="Z245" s="183">
        <f t="shared" si="144"/>
        <v>6460.1684017455482</v>
      </c>
      <c r="AA245" s="183">
        <f t="shared" si="144"/>
        <v>51644.048435508608</v>
      </c>
      <c r="AB245" s="184">
        <f t="shared" si="144"/>
        <v>-6756.1287876654387</v>
      </c>
      <c r="AC245" s="101"/>
      <c r="AD245" s="182">
        <f t="shared" si="149"/>
        <v>1479131.3536941258</v>
      </c>
      <c r="AE245" s="184">
        <f t="shared" si="145"/>
        <v>-225659.83159825444</v>
      </c>
      <c r="AF245" s="184">
        <f t="shared" si="145"/>
        <v>-233843.95156449138</v>
      </c>
      <c r="AG245" s="184">
        <f t="shared" si="145"/>
        <v>-225674.12878766545</v>
      </c>
    </row>
    <row r="246" spans="1:33" x14ac:dyDescent="0.3">
      <c r="M246" s="111"/>
      <c r="N246" s="8"/>
      <c r="O246" s="194">
        <f t="shared" si="155"/>
        <v>1884374.1379844591</v>
      </c>
      <c r="P246" s="193">
        <f t="shared" si="155"/>
        <v>23313.221829333052</v>
      </c>
      <c r="Q246" s="193">
        <f t="shared" si="155"/>
        <v>72714.980761777013</v>
      </c>
      <c r="R246" s="197">
        <f t="shared" si="155"/>
        <v>8970.514457917312</v>
      </c>
      <c r="T246" s="194">
        <f t="shared" si="147"/>
        <v>1870230.1379844591</v>
      </c>
      <c r="U246" s="193">
        <f t="shared" si="143"/>
        <v>13249.221829333052</v>
      </c>
      <c r="V246" s="193">
        <f t="shared" si="143"/>
        <v>60917.980761777013</v>
      </c>
      <c r="W246" s="197">
        <f t="shared" si="143"/>
        <v>-664.48554208268797</v>
      </c>
      <c r="Y246" s="194">
        <f t="shared" si="148"/>
        <v>1858820.1379844591</v>
      </c>
      <c r="Z246" s="193">
        <f t="shared" si="144"/>
        <v>6733.2218293330516</v>
      </c>
      <c r="AA246" s="193">
        <f t="shared" si="144"/>
        <v>52322.980761777013</v>
      </c>
      <c r="AB246" s="197">
        <f t="shared" si="144"/>
        <v>-6666.485542082688</v>
      </c>
      <c r="AC246" s="101"/>
      <c r="AD246" s="194">
        <f t="shared" si="149"/>
        <v>1501064.1379844591</v>
      </c>
      <c r="AE246" s="197">
        <f t="shared" si="145"/>
        <v>-225386.77817066695</v>
      </c>
      <c r="AF246" s="197">
        <f t="shared" si="145"/>
        <v>-233165.01923822297</v>
      </c>
      <c r="AG246" s="197">
        <f t="shared" si="145"/>
        <v>-225584.48554208269</v>
      </c>
    </row>
    <row r="247" spans="1:33" x14ac:dyDescent="0.3">
      <c r="M247" s="237"/>
      <c r="N247" s="207"/>
      <c r="O247" s="195">
        <f>O90*(O133+O137)</f>
        <v>254878.47171248758</v>
      </c>
      <c r="P247" s="184">
        <f t="shared" ref="P247:R247" si="156">P90*(P133+P137)</f>
        <v>3150.9047241227026</v>
      </c>
      <c r="Q247" s="183">
        <f t="shared" si="156"/>
        <v>10072.848168844985</v>
      </c>
      <c r="R247" s="184">
        <f t="shared" si="156"/>
        <v>1234.290785653795</v>
      </c>
      <c r="T247" s="195">
        <f t="shared" si="147"/>
        <v>240734.47171248758</v>
      </c>
      <c r="U247" s="184">
        <f t="shared" si="147"/>
        <v>-6913.0952758772974</v>
      </c>
      <c r="V247" s="184">
        <f t="shared" si="147"/>
        <v>-1724.1518311550153</v>
      </c>
      <c r="W247" s="184">
        <f t="shared" si="147"/>
        <v>-8400.709214346205</v>
      </c>
      <c r="Y247" s="195">
        <f t="shared" si="148"/>
        <v>229324.47171248758</v>
      </c>
      <c r="Z247" s="184">
        <f t="shared" si="148"/>
        <v>-13429.095275877298</v>
      </c>
      <c r="AA247" s="184">
        <f t="shared" si="148"/>
        <v>-10319.151831155015</v>
      </c>
      <c r="AB247" s="184">
        <f t="shared" si="148"/>
        <v>-14402.709214346205</v>
      </c>
      <c r="AC247" s="101"/>
      <c r="AD247" s="184">
        <f t="shared" si="149"/>
        <v>-128431.52828751242</v>
      </c>
      <c r="AE247" s="184">
        <f t="shared" si="149"/>
        <v>-245549.09527587731</v>
      </c>
      <c r="AF247" s="184">
        <f t="shared" si="149"/>
        <v>-295807.151831155</v>
      </c>
      <c r="AG247" s="184">
        <f t="shared" si="149"/>
        <v>-233320.70921434619</v>
      </c>
    </row>
    <row r="248" spans="1:33" ht="28.8" x14ac:dyDescent="0.3">
      <c r="M248" s="222" t="s">
        <v>929</v>
      </c>
      <c r="O248" s="195">
        <f t="shared" ref="O248:R250" si="157">O91*(O134+O138)</f>
        <v>272446.53387657035</v>
      </c>
      <c r="P248" s="184">
        <f t="shared" si="157"/>
        <v>3369.619298910523</v>
      </c>
      <c r="Q248" s="183">
        <f t="shared" si="157"/>
        <v>10616.669926958284</v>
      </c>
      <c r="R248" s="184">
        <f t="shared" si="157"/>
        <v>1306.0946246074334</v>
      </c>
      <c r="T248" s="195">
        <f t="shared" si="147"/>
        <v>258302.53387657035</v>
      </c>
      <c r="U248" s="184">
        <f t="shared" si="147"/>
        <v>-6694.380701089477</v>
      </c>
      <c r="V248" s="184">
        <f t="shared" si="147"/>
        <v>-1180.3300730417159</v>
      </c>
      <c r="W248" s="184">
        <f t="shared" si="147"/>
        <v>-8328.9053753925673</v>
      </c>
      <c r="Y248" s="195">
        <f t="shared" si="148"/>
        <v>246892.53387657035</v>
      </c>
      <c r="Z248" s="184">
        <f t="shared" si="148"/>
        <v>-13210.380701089478</v>
      </c>
      <c r="AA248" s="184">
        <f t="shared" si="148"/>
        <v>-9775.3300730417159</v>
      </c>
      <c r="AB248" s="184">
        <f t="shared" si="148"/>
        <v>-14330.905375392567</v>
      </c>
      <c r="AC248" s="101"/>
      <c r="AD248" s="184">
        <f t="shared" si="149"/>
        <v>-110863.46612342965</v>
      </c>
      <c r="AE248" s="184">
        <f t="shared" si="149"/>
        <v>-245330.38070108948</v>
      </c>
      <c r="AF248" s="184">
        <f t="shared" si="149"/>
        <v>-295263.33007304172</v>
      </c>
      <c r="AG248" s="184">
        <f t="shared" si="149"/>
        <v>-233248.90537539255</v>
      </c>
    </row>
    <row r="249" spans="1:33" x14ac:dyDescent="0.3">
      <c r="A249" s="145"/>
      <c r="B249" s="145"/>
      <c r="C249" s="145"/>
      <c r="D249" s="145"/>
      <c r="E249" s="163"/>
      <c r="F249" s="181"/>
      <c r="G249" s="163"/>
      <c r="H249" s="145"/>
      <c r="I249" s="145"/>
      <c r="J249" s="145"/>
      <c r="M249" s="222"/>
      <c r="O249" s="195">
        <f t="shared" si="157"/>
        <v>282663.03771968308</v>
      </c>
      <c r="P249" s="184">
        <f t="shared" si="157"/>
        <v>3496.8102362486707</v>
      </c>
      <c r="Q249" s="183">
        <f t="shared" si="157"/>
        <v>10932.923195522635</v>
      </c>
      <c r="R249" s="184">
        <f t="shared" si="157"/>
        <v>1347.8513186450884</v>
      </c>
      <c r="T249" s="195">
        <f t="shared" si="147"/>
        <v>268519.03771968308</v>
      </c>
      <c r="U249" s="184">
        <f t="shared" si="147"/>
        <v>-6567.1897637513293</v>
      </c>
      <c r="V249" s="184">
        <f t="shared" si="147"/>
        <v>-864.07680447736493</v>
      </c>
      <c r="W249" s="184">
        <f t="shared" si="147"/>
        <v>-8287.1486813549109</v>
      </c>
      <c r="Y249" s="195">
        <f t="shared" si="148"/>
        <v>257109.03771968308</v>
      </c>
      <c r="Z249" s="184">
        <f t="shared" si="148"/>
        <v>-13083.189763751328</v>
      </c>
      <c r="AA249" s="184">
        <f t="shared" si="148"/>
        <v>-9459.0768044773649</v>
      </c>
      <c r="AB249" s="184">
        <f t="shared" si="148"/>
        <v>-14289.148681354911</v>
      </c>
      <c r="AC249" s="101"/>
      <c r="AD249" s="184">
        <f t="shared" si="149"/>
        <v>-100646.96228031692</v>
      </c>
      <c r="AE249" s="184">
        <f t="shared" si="149"/>
        <v>-245203.18976375132</v>
      </c>
      <c r="AF249" s="184">
        <f t="shared" si="149"/>
        <v>-294947.07680447737</v>
      </c>
      <c r="AG249" s="184">
        <f t="shared" si="149"/>
        <v>-233207.14868135491</v>
      </c>
    </row>
    <row r="250" spans="1:33" x14ac:dyDescent="0.3">
      <c r="A250" s="146"/>
      <c r="B250" s="145"/>
      <c r="C250" s="145"/>
      <c r="D250" s="145"/>
      <c r="E250" s="345"/>
      <c r="F250" s="211"/>
      <c r="G250" s="211"/>
      <c r="H250" s="145"/>
      <c r="I250" s="145"/>
      <c r="J250" s="145"/>
      <c r="M250" s="111"/>
      <c r="N250" s="8"/>
      <c r="O250" s="196">
        <f t="shared" si="157"/>
        <v>285991.78008295764</v>
      </c>
      <c r="P250" s="197">
        <f t="shared" si="157"/>
        <v>3538.2516009115448</v>
      </c>
      <c r="Q250" s="193">
        <f t="shared" si="157"/>
        <v>11035.964868952227</v>
      </c>
      <c r="R250" s="197">
        <f t="shared" si="157"/>
        <v>1361.4564891151347</v>
      </c>
      <c r="T250" s="196">
        <f t="shared" si="147"/>
        <v>271847.78008295764</v>
      </c>
      <c r="U250" s="197">
        <f t="shared" si="147"/>
        <v>-6525.7483990884557</v>
      </c>
      <c r="V250" s="197">
        <f t="shared" si="147"/>
        <v>-761.03513104777267</v>
      </c>
      <c r="W250" s="197">
        <f t="shared" si="147"/>
        <v>-8273.5435108848651</v>
      </c>
      <c r="Y250" s="196">
        <f t="shared" si="148"/>
        <v>260437.78008295764</v>
      </c>
      <c r="Z250" s="197">
        <f t="shared" si="148"/>
        <v>-13041.748399088456</v>
      </c>
      <c r="AA250" s="197">
        <f t="shared" si="148"/>
        <v>-9356.0351310477727</v>
      </c>
      <c r="AB250" s="197">
        <f t="shared" si="148"/>
        <v>-14275.543510884865</v>
      </c>
      <c r="AC250" s="101"/>
      <c r="AD250" s="197">
        <f t="shared" si="149"/>
        <v>-97318.219917042356</v>
      </c>
      <c r="AE250" s="197">
        <f t="shared" si="149"/>
        <v>-245161.74839908845</v>
      </c>
      <c r="AF250" s="197">
        <f t="shared" si="149"/>
        <v>-294844.03513104777</v>
      </c>
      <c r="AG250" s="197">
        <f t="shared" si="149"/>
        <v>-233193.54351088486</v>
      </c>
    </row>
    <row r="251" spans="1:33" x14ac:dyDescent="0.3">
      <c r="A251" s="146"/>
      <c r="B251" s="145"/>
      <c r="C251" s="145"/>
      <c r="D251" s="145"/>
      <c r="E251" s="345"/>
      <c r="F251" s="211"/>
      <c r="G251" s="211"/>
      <c r="H251" s="145"/>
      <c r="I251" s="145"/>
      <c r="J251" s="145"/>
      <c r="M251" s="237"/>
      <c r="N251" s="207"/>
      <c r="O251" s="184">
        <f>O94*(O133+O137)</f>
        <v>1462.0180021748806</v>
      </c>
      <c r="P251" s="184">
        <f t="shared" ref="P251:R251" si="158">P94*(P133+P137)</f>
        <v>18.0740232741264</v>
      </c>
      <c r="Q251" s="184">
        <f t="shared" si="158"/>
        <v>57.779243798346002</v>
      </c>
      <c r="R251" s="184">
        <f t="shared" si="158"/>
        <v>7.080061867995</v>
      </c>
      <c r="T251" s="184">
        <f t="shared" si="147"/>
        <v>-12681.98199782512</v>
      </c>
      <c r="U251" s="184">
        <f t="shared" si="147"/>
        <v>-10045.925976725874</v>
      </c>
      <c r="V251" s="184">
        <f t="shared" si="147"/>
        <v>-11739.220756201654</v>
      </c>
      <c r="W251" s="184">
        <f t="shared" si="147"/>
        <v>-9627.919938132005</v>
      </c>
      <c r="Y251" s="184">
        <f t="shared" si="148"/>
        <v>-24091.981997825118</v>
      </c>
      <c r="Z251" s="184">
        <f t="shared" si="148"/>
        <v>-16561.925976725874</v>
      </c>
      <c r="AA251" s="184">
        <f t="shared" si="148"/>
        <v>-20334.220756201656</v>
      </c>
      <c r="AB251" s="184">
        <f t="shared" si="148"/>
        <v>-15629.919938132005</v>
      </c>
      <c r="AC251" s="101"/>
      <c r="AD251" s="184">
        <f t="shared" si="149"/>
        <v>-381847.98199782515</v>
      </c>
      <c r="AE251" s="184">
        <f t="shared" si="149"/>
        <v>-248681.92597672588</v>
      </c>
      <c r="AF251" s="184">
        <f t="shared" si="149"/>
        <v>-305822.22075620166</v>
      </c>
      <c r="AG251" s="184">
        <f t="shared" si="149"/>
        <v>-234547.91993813199</v>
      </c>
    </row>
    <row r="252" spans="1:33" x14ac:dyDescent="0.3">
      <c r="A252" s="145"/>
      <c r="B252" s="145"/>
      <c r="C252" s="145"/>
      <c r="D252" s="145"/>
      <c r="E252" s="345"/>
      <c r="F252" s="211"/>
      <c r="G252" s="211"/>
      <c r="H252" s="145"/>
      <c r="I252" s="145"/>
      <c r="J252" s="145"/>
      <c r="M252" s="222" t="s">
        <v>827</v>
      </c>
      <c r="O252" s="184">
        <f t="shared" ref="O252:R254" si="159">O95*(O134+O138)</f>
        <v>1562.7908252958143</v>
      </c>
      <c r="P252" s="184">
        <f t="shared" si="159"/>
        <v>19.328600184955196</v>
      </c>
      <c r="Q252" s="184">
        <f t="shared" si="159"/>
        <v>60.898680269359183</v>
      </c>
      <c r="R252" s="184">
        <f t="shared" si="159"/>
        <v>7.4919385732739983</v>
      </c>
      <c r="T252" s="184">
        <f t="shared" si="147"/>
        <v>-12581.209174704185</v>
      </c>
      <c r="U252" s="184">
        <f t="shared" si="147"/>
        <v>-10044.671399815044</v>
      </c>
      <c r="V252" s="184">
        <f t="shared" si="147"/>
        <v>-11736.10131973064</v>
      </c>
      <c r="W252" s="184">
        <f t="shared" si="147"/>
        <v>-9627.5080614267263</v>
      </c>
      <c r="Y252" s="184">
        <f t="shared" si="148"/>
        <v>-23991.209174704185</v>
      </c>
      <c r="Z252" s="184">
        <f t="shared" si="148"/>
        <v>-16560.671399815044</v>
      </c>
      <c r="AA252" s="184">
        <f t="shared" si="148"/>
        <v>-20331.101319730642</v>
      </c>
      <c r="AB252" s="184">
        <f t="shared" si="148"/>
        <v>-15629.508061426726</v>
      </c>
      <c r="AC252" s="101"/>
      <c r="AD252" s="184">
        <f t="shared" si="149"/>
        <v>-381747.20917470421</v>
      </c>
      <c r="AE252" s="184">
        <f t="shared" si="149"/>
        <v>-248680.67139981504</v>
      </c>
      <c r="AF252" s="184">
        <f t="shared" si="149"/>
        <v>-305819.10131973063</v>
      </c>
      <c r="AG252" s="184">
        <f t="shared" si="149"/>
        <v>-234547.50806142672</v>
      </c>
    </row>
    <row r="253" spans="1:33" x14ac:dyDescent="0.3">
      <c r="A253" s="145"/>
      <c r="B253" s="145"/>
      <c r="C253" s="145"/>
      <c r="D253" s="145"/>
      <c r="E253" s="345"/>
      <c r="F253" s="211"/>
      <c r="G253" s="211"/>
      <c r="H253" s="145"/>
      <c r="I253" s="145"/>
      <c r="J253" s="145"/>
      <c r="M253" s="221" t="s">
        <v>925</v>
      </c>
      <c r="O253" s="184">
        <f t="shared" si="159"/>
        <v>1621.3940978184494</v>
      </c>
      <c r="P253" s="184">
        <f t="shared" si="159"/>
        <v>20.058184911560254</v>
      </c>
      <c r="Q253" s="184">
        <f t="shared" si="159"/>
        <v>62.712752555579179</v>
      </c>
      <c r="R253" s="184">
        <f t="shared" si="159"/>
        <v>7.7314607188054794</v>
      </c>
      <c r="T253" s="184">
        <f t="shared" si="147"/>
        <v>-12522.605902181551</v>
      </c>
      <c r="U253" s="184">
        <f t="shared" si="147"/>
        <v>-10043.941815088439</v>
      </c>
      <c r="V253" s="184">
        <f t="shared" si="147"/>
        <v>-11734.287247444421</v>
      </c>
      <c r="W253" s="184">
        <f t="shared" si="147"/>
        <v>-9627.2685392811945</v>
      </c>
      <c r="Y253" s="184">
        <f t="shared" si="148"/>
        <v>-23932.605902181549</v>
      </c>
      <c r="Z253" s="184">
        <f t="shared" si="148"/>
        <v>-16559.941815088441</v>
      </c>
      <c r="AA253" s="184">
        <f t="shared" si="148"/>
        <v>-20329.287247444419</v>
      </c>
      <c r="AB253" s="184">
        <f t="shared" si="148"/>
        <v>-15629.268539281195</v>
      </c>
      <c r="AC253" s="101"/>
      <c r="AD253" s="184">
        <f t="shared" si="149"/>
        <v>-381688.60590218153</v>
      </c>
      <c r="AE253" s="184">
        <f t="shared" si="149"/>
        <v>-248679.94181508844</v>
      </c>
      <c r="AF253" s="184">
        <f t="shared" si="149"/>
        <v>-305817.28724744444</v>
      </c>
      <c r="AG253" s="184">
        <f t="shared" si="149"/>
        <v>-234547.26853928118</v>
      </c>
    </row>
    <row r="254" spans="1:33" x14ac:dyDescent="0.3">
      <c r="A254" s="145"/>
      <c r="B254" s="145"/>
      <c r="C254" s="145"/>
      <c r="D254" s="145"/>
      <c r="E254" s="345"/>
      <c r="F254" s="211"/>
      <c r="G254" s="211"/>
      <c r="H254" s="145"/>
      <c r="I254" s="145"/>
      <c r="J254" s="145"/>
      <c r="M254" s="8"/>
      <c r="N254" s="8"/>
      <c r="O254" s="184">
        <f t="shared" si="159"/>
        <v>1640.4882222731792</v>
      </c>
      <c r="P254" s="184">
        <f t="shared" si="159"/>
        <v>20.295898284387448</v>
      </c>
      <c r="Q254" s="184">
        <f t="shared" si="159"/>
        <v>63.303813779840702</v>
      </c>
      <c r="R254" s="184">
        <f t="shared" si="159"/>
        <v>7.8095018496088038</v>
      </c>
      <c r="T254" s="197">
        <f t="shared" si="147"/>
        <v>-12503.511777726821</v>
      </c>
      <c r="U254" s="197">
        <f t="shared" si="147"/>
        <v>-10043.704101715613</v>
      </c>
      <c r="V254" s="197">
        <f t="shared" si="147"/>
        <v>-11733.696186220159</v>
      </c>
      <c r="W254" s="197">
        <f t="shared" si="147"/>
        <v>-9627.1904981503903</v>
      </c>
      <c r="Y254" s="184">
        <f t="shared" si="148"/>
        <v>-23913.511777726821</v>
      </c>
      <c r="Z254" s="184">
        <f t="shared" si="148"/>
        <v>-16559.704101715612</v>
      </c>
      <c r="AA254" s="184">
        <f t="shared" si="148"/>
        <v>-20328.696186220161</v>
      </c>
      <c r="AB254" s="184">
        <f t="shared" si="148"/>
        <v>-15629.19049815039</v>
      </c>
      <c r="AC254" s="101"/>
      <c r="AD254" s="184">
        <f t="shared" si="149"/>
        <v>-381669.51177772682</v>
      </c>
      <c r="AE254" s="184">
        <f t="shared" si="149"/>
        <v>-248679.70410171562</v>
      </c>
      <c r="AF254" s="184">
        <f t="shared" si="149"/>
        <v>-305816.69618622016</v>
      </c>
      <c r="AG254" s="184">
        <f t="shared" si="149"/>
        <v>-234547.19049815039</v>
      </c>
    </row>
    <row r="255" spans="1:33" x14ac:dyDescent="0.3">
      <c r="A255" s="145"/>
      <c r="B255" s="145"/>
      <c r="C255" s="145"/>
      <c r="D255" s="145"/>
      <c r="E255" s="145"/>
      <c r="F255" s="211"/>
      <c r="G255" s="211"/>
      <c r="H255" s="145"/>
      <c r="I255" s="145"/>
      <c r="J255" s="145"/>
      <c r="O255" s="101"/>
    </row>
    <row r="256" spans="1:33" x14ac:dyDescent="0.3">
      <c r="A256" s="146"/>
      <c r="B256" s="145"/>
      <c r="C256" s="145"/>
      <c r="D256" s="145"/>
      <c r="E256" s="345"/>
      <c r="F256" s="211"/>
      <c r="G256" s="211"/>
      <c r="H256" s="145"/>
      <c r="I256" s="145"/>
      <c r="J256" s="145"/>
    </row>
    <row r="257" spans="1:10" x14ac:dyDescent="0.3">
      <c r="A257" s="145"/>
      <c r="B257" s="145"/>
      <c r="C257" s="145"/>
      <c r="D257" s="145"/>
      <c r="E257" s="345"/>
      <c r="F257" s="211"/>
      <c r="G257" s="211"/>
      <c r="H257" s="145"/>
      <c r="I257" s="145"/>
      <c r="J257" s="145"/>
    </row>
    <row r="258" spans="1:10" x14ac:dyDescent="0.3">
      <c r="A258" s="145"/>
      <c r="B258" s="145"/>
      <c r="C258" s="145"/>
      <c r="D258" s="145"/>
      <c r="E258" s="345"/>
      <c r="F258" s="211"/>
      <c r="G258" s="211"/>
      <c r="H258" s="145"/>
      <c r="I258" s="145"/>
      <c r="J258" s="145"/>
    </row>
    <row r="259" spans="1:10" x14ac:dyDescent="0.3">
      <c r="A259" s="145"/>
      <c r="B259" s="145"/>
      <c r="C259" s="145"/>
      <c r="D259" s="145"/>
      <c r="E259" s="345"/>
      <c r="F259" s="211"/>
      <c r="G259" s="211"/>
      <c r="H259" s="145"/>
      <c r="I259" s="145"/>
      <c r="J259" s="145"/>
    </row>
    <row r="260" spans="1:10" x14ac:dyDescent="0.3">
      <c r="A260" s="145"/>
      <c r="B260" s="145"/>
      <c r="C260" s="145"/>
      <c r="D260" s="145"/>
      <c r="E260" s="145"/>
      <c r="F260" s="211"/>
      <c r="G260" s="211"/>
      <c r="H260" s="145"/>
      <c r="I260" s="145"/>
      <c r="J260" s="145"/>
    </row>
    <row r="261" spans="1:10" x14ac:dyDescent="0.3">
      <c r="A261" s="146"/>
      <c r="B261" s="145"/>
      <c r="C261" s="145"/>
      <c r="D261" s="145"/>
      <c r="E261" s="345"/>
      <c r="F261" s="211"/>
      <c r="G261" s="211"/>
      <c r="H261" s="145"/>
      <c r="I261" s="145"/>
      <c r="J261" s="145"/>
    </row>
    <row r="262" spans="1:10" x14ac:dyDescent="0.3">
      <c r="A262" s="145"/>
      <c r="B262" s="145"/>
      <c r="C262" s="145"/>
      <c r="D262" s="145"/>
      <c r="E262" s="345"/>
      <c r="F262" s="211"/>
      <c r="G262" s="211"/>
      <c r="H262" s="145"/>
      <c r="I262" s="145"/>
      <c r="J262" s="145"/>
    </row>
    <row r="263" spans="1:10" x14ac:dyDescent="0.3">
      <c r="A263" s="145"/>
      <c r="B263" s="145"/>
      <c r="C263" s="145"/>
      <c r="D263" s="145"/>
      <c r="E263" s="345"/>
      <c r="F263" s="211"/>
      <c r="G263" s="211"/>
      <c r="H263" s="145"/>
      <c r="I263" s="145"/>
      <c r="J263" s="145"/>
    </row>
    <row r="264" spans="1:10" x14ac:dyDescent="0.3">
      <c r="A264" s="145"/>
      <c r="B264" s="145"/>
      <c r="C264" s="145"/>
      <c r="D264" s="145"/>
      <c r="E264" s="345"/>
      <c r="F264" s="211"/>
      <c r="G264" s="211"/>
      <c r="H264" s="145"/>
      <c r="I264" s="145"/>
      <c r="J264" s="145"/>
    </row>
    <row r="265" spans="1:10" x14ac:dyDescent="0.3">
      <c r="A265" s="145"/>
      <c r="B265" s="145"/>
      <c r="C265" s="145"/>
      <c r="D265" s="145"/>
      <c r="E265" s="145"/>
      <c r="F265" s="145"/>
      <c r="G265" s="145"/>
      <c r="H265" s="145"/>
      <c r="I265" s="145"/>
      <c r="J265" s="145"/>
    </row>
    <row r="266" spans="1:10" x14ac:dyDescent="0.3">
      <c r="A266" s="145"/>
      <c r="B266" s="145"/>
      <c r="C266" s="145"/>
      <c r="D266" s="145"/>
      <c r="E266" s="145"/>
      <c r="F266" s="145"/>
      <c r="G266" s="145"/>
      <c r="H266" s="145"/>
      <c r="I266" s="145"/>
      <c r="J266" s="145"/>
    </row>
    <row r="267" spans="1:10" x14ac:dyDescent="0.3">
      <c r="A267" s="145"/>
      <c r="B267" s="145"/>
      <c r="C267" s="145"/>
      <c r="D267" s="145"/>
      <c r="E267" s="145"/>
      <c r="F267" s="145"/>
      <c r="G267" s="145"/>
      <c r="H267" s="145"/>
      <c r="I267" s="145"/>
      <c r="J267" s="145"/>
    </row>
    <row r="268" spans="1:10" s="222" customFormat="1" x14ac:dyDescent="0.3">
      <c r="A268" s="79"/>
      <c r="B268" s="79"/>
      <c r="C268" s="79"/>
      <c r="D268" s="79"/>
      <c r="E268" s="181"/>
      <c r="F268" s="181"/>
      <c r="G268" s="181"/>
      <c r="H268" s="181"/>
      <c r="I268" s="181"/>
      <c r="J268" s="79"/>
    </row>
    <row r="269" spans="1:10" x14ac:dyDescent="0.3">
      <c r="A269" s="146"/>
      <c r="B269" s="145"/>
      <c r="C269" s="145"/>
      <c r="D269" s="145"/>
      <c r="E269" s="345"/>
      <c r="F269" s="346"/>
      <c r="G269" s="347"/>
      <c r="H269" s="347"/>
      <c r="I269" s="348"/>
      <c r="J269" s="145"/>
    </row>
    <row r="270" spans="1:10" x14ac:dyDescent="0.3">
      <c r="A270" s="145"/>
      <c r="B270" s="145"/>
      <c r="C270" s="145"/>
      <c r="D270" s="145"/>
      <c r="E270" s="345"/>
      <c r="F270" s="346"/>
      <c r="G270" s="347"/>
      <c r="H270" s="347"/>
      <c r="I270" s="348"/>
      <c r="J270" s="145"/>
    </row>
    <row r="271" spans="1:10" x14ac:dyDescent="0.3">
      <c r="A271" s="145"/>
      <c r="B271" s="145"/>
      <c r="C271" s="145"/>
      <c r="D271" s="145"/>
      <c r="E271" s="345"/>
      <c r="F271" s="346"/>
      <c r="G271" s="347"/>
      <c r="H271" s="347"/>
      <c r="I271" s="348"/>
      <c r="J271" s="145"/>
    </row>
    <row r="272" spans="1:10" x14ac:dyDescent="0.3">
      <c r="A272" s="145"/>
      <c r="B272" s="145"/>
      <c r="C272" s="145"/>
      <c r="D272" s="145"/>
      <c r="E272" s="345"/>
      <c r="F272" s="346"/>
      <c r="G272" s="347"/>
      <c r="H272" s="347"/>
      <c r="I272" s="348"/>
      <c r="J272" s="145"/>
    </row>
    <row r="273" spans="1:10" x14ac:dyDescent="0.3">
      <c r="A273" s="145"/>
      <c r="B273" s="145"/>
      <c r="C273" s="145"/>
      <c r="D273" s="145"/>
      <c r="E273" s="145"/>
      <c r="F273" s="349"/>
      <c r="G273" s="145"/>
      <c r="H273" s="145"/>
      <c r="I273" s="145"/>
      <c r="J273" s="145"/>
    </row>
    <row r="274" spans="1:10" x14ac:dyDescent="0.3">
      <c r="A274" s="146"/>
      <c r="B274" s="145"/>
      <c r="C274" s="145"/>
      <c r="D274" s="145"/>
      <c r="E274" s="345"/>
      <c r="F274" s="346"/>
      <c r="G274" s="347"/>
      <c r="H274" s="347"/>
      <c r="I274" s="348"/>
      <c r="J274" s="145"/>
    </row>
    <row r="275" spans="1:10" x14ac:dyDescent="0.3">
      <c r="A275" s="145"/>
      <c r="B275" s="145"/>
      <c r="C275" s="145"/>
      <c r="D275" s="145"/>
      <c r="E275" s="345"/>
      <c r="F275" s="346"/>
      <c r="G275" s="347"/>
      <c r="H275" s="347"/>
      <c r="I275" s="348"/>
      <c r="J275" s="145"/>
    </row>
    <row r="276" spans="1:10" x14ac:dyDescent="0.3">
      <c r="A276" s="145"/>
      <c r="B276" s="145"/>
      <c r="C276" s="145"/>
      <c r="D276" s="145"/>
      <c r="E276" s="345"/>
      <c r="F276" s="346"/>
      <c r="G276" s="347"/>
      <c r="H276" s="347"/>
      <c r="I276" s="348"/>
      <c r="J276" s="145"/>
    </row>
    <row r="277" spans="1:10" x14ac:dyDescent="0.3">
      <c r="A277" s="145"/>
      <c r="B277" s="145"/>
      <c r="C277" s="145"/>
      <c r="D277" s="145"/>
      <c r="E277" s="345"/>
      <c r="F277" s="346"/>
      <c r="G277" s="347"/>
      <c r="H277" s="347"/>
      <c r="I277" s="348"/>
      <c r="J277" s="145"/>
    </row>
    <row r="278" spans="1:10" x14ac:dyDescent="0.3">
      <c r="A278" s="145"/>
      <c r="B278" s="145"/>
      <c r="C278" s="145"/>
      <c r="D278" s="145"/>
      <c r="E278" s="145"/>
      <c r="F278" s="349"/>
      <c r="G278" s="145"/>
      <c r="H278" s="145"/>
      <c r="I278" s="145"/>
      <c r="J278" s="145"/>
    </row>
    <row r="279" spans="1:10" x14ac:dyDescent="0.3">
      <c r="A279" s="146"/>
      <c r="B279" s="145"/>
      <c r="C279" s="145"/>
      <c r="D279" s="145"/>
      <c r="E279" s="345"/>
      <c r="F279" s="346"/>
      <c r="G279" s="347"/>
      <c r="H279" s="347"/>
      <c r="I279" s="348"/>
      <c r="J279" s="145"/>
    </row>
    <row r="280" spans="1:10" x14ac:dyDescent="0.3">
      <c r="A280" s="145"/>
      <c r="B280" s="145"/>
      <c r="C280" s="145"/>
      <c r="D280" s="145"/>
      <c r="E280" s="345"/>
      <c r="F280" s="346"/>
      <c r="G280" s="347"/>
      <c r="H280" s="347"/>
      <c r="I280" s="348"/>
      <c r="J280" s="145"/>
    </row>
    <row r="281" spans="1:10" x14ac:dyDescent="0.3">
      <c r="A281" s="145"/>
      <c r="B281" s="145"/>
      <c r="C281" s="145"/>
      <c r="D281" s="145"/>
      <c r="E281" s="345"/>
      <c r="F281" s="346"/>
      <c r="G281" s="347"/>
      <c r="H281" s="347"/>
      <c r="I281" s="348"/>
      <c r="J281" s="145"/>
    </row>
    <row r="282" spans="1:10" x14ac:dyDescent="0.3">
      <c r="A282" s="145"/>
      <c r="B282" s="145"/>
      <c r="C282" s="145"/>
      <c r="D282" s="145"/>
      <c r="E282" s="345"/>
      <c r="F282" s="346"/>
      <c r="G282" s="347"/>
      <c r="H282" s="347"/>
      <c r="I282" s="348"/>
      <c r="J282" s="145"/>
    </row>
    <row r="283" spans="1:10" x14ac:dyDescent="0.3">
      <c r="A283" s="145"/>
      <c r="B283" s="145"/>
      <c r="C283" s="145"/>
      <c r="D283" s="145"/>
      <c r="E283" s="145"/>
      <c r="F283" s="145"/>
      <c r="G283" s="145"/>
      <c r="H283" s="145"/>
      <c r="I283" s="145"/>
      <c r="J283" s="145"/>
    </row>
    <row r="284" spans="1:10" x14ac:dyDescent="0.3">
      <c r="A284" s="145"/>
      <c r="B284" s="145"/>
      <c r="C284" s="145"/>
      <c r="D284" s="145"/>
      <c r="E284" s="145"/>
      <c r="F284" s="145"/>
      <c r="G284" s="145"/>
      <c r="H284" s="145"/>
      <c r="I284" s="145"/>
      <c r="J284" s="145"/>
    </row>
    <row r="285" spans="1:10" x14ac:dyDescent="0.3">
      <c r="A285" s="145"/>
      <c r="B285" s="145"/>
      <c r="C285" s="145"/>
      <c r="D285" s="145"/>
      <c r="E285" s="145"/>
      <c r="F285" s="145"/>
      <c r="G285" s="145"/>
      <c r="H285" s="145"/>
      <c r="I285" s="145"/>
      <c r="J285" s="145"/>
    </row>
    <row r="286" spans="1:10" x14ac:dyDescent="0.3">
      <c r="A286" s="79"/>
      <c r="B286" s="79"/>
      <c r="C286" s="79"/>
      <c r="D286" s="79"/>
      <c r="E286" s="181"/>
      <c r="F286" s="181"/>
      <c r="G286" s="181"/>
      <c r="H286" s="181"/>
      <c r="I286" s="181"/>
      <c r="J286" s="145"/>
    </row>
    <row r="287" spans="1:10" x14ac:dyDescent="0.3">
      <c r="A287" s="146"/>
      <c r="B287" s="145"/>
      <c r="C287" s="145"/>
      <c r="D287" s="145"/>
      <c r="E287" s="345"/>
      <c r="F287" s="346"/>
      <c r="G287" s="347"/>
      <c r="H287" s="347"/>
      <c r="I287" s="348"/>
      <c r="J287" s="145"/>
    </row>
    <row r="288" spans="1:10" x14ac:dyDescent="0.3">
      <c r="A288" s="145"/>
      <c r="B288" s="145"/>
      <c r="C288" s="145"/>
      <c r="D288" s="145"/>
      <c r="E288" s="345"/>
      <c r="F288" s="346"/>
      <c r="G288" s="347"/>
      <c r="H288" s="347"/>
      <c r="I288" s="348"/>
      <c r="J288" s="145"/>
    </row>
    <row r="289" spans="1:10" x14ac:dyDescent="0.3">
      <c r="A289" s="145"/>
      <c r="B289" s="145"/>
      <c r="C289" s="145"/>
      <c r="D289" s="145"/>
      <c r="E289" s="345"/>
      <c r="F289" s="346"/>
      <c r="G289" s="347"/>
      <c r="H289" s="347"/>
      <c r="I289" s="348"/>
      <c r="J289" s="145"/>
    </row>
    <row r="290" spans="1:10" x14ac:dyDescent="0.3">
      <c r="A290" s="145"/>
      <c r="B290" s="145"/>
      <c r="C290" s="145"/>
      <c r="D290" s="145"/>
      <c r="E290" s="345"/>
      <c r="F290" s="346"/>
      <c r="G290" s="347"/>
      <c r="H290" s="347"/>
      <c r="I290" s="348"/>
      <c r="J290" s="145"/>
    </row>
    <row r="291" spans="1:10" x14ac:dyDescent="0.3">
      <c r="A291" s="145"/>
      <c r="B291" s="145"/>
      <c r="C291" s="145"/>
      <c r="D291" s="145"/>
      <c r="E291" s="145"/>
      <c r="F291" s="349"/>
      <c r="G291" s="145"/>
      <c r="H291" s="145"/>
      <c r="I291" s="145"/>
      <c r="J291" s="145"/>
    </row>
    <row r="292" spans="1:10" x14ac:dyDescent="0.3">
      <c r="A292" s="146"/>
      <c r="B292" s="145"/>
      <c r="C292" s="145"/>
      <c r="D292" s="145"/>
      <c r="E292" s="345"/>
      <c r="F292" s="346"/>
      <c r="G292" s="347"/>
      <c r="H292" s="347"/>
      <c r="I292" s="348"/>
      <c r="J292" s="145"/>
    </row>
    <row r="293" spans="1:10" x14ac:dyDescent="0.3">
      <c r="A293" s="145"/>
      <c r="B293" s="145"/>
      <c r="C293" s="145"/>
      <c r="D293" s="145"/>
      <c r="E293" s="345"/>
      <c r="F293" s="346"/>
      <c r="G293" s="347"/>
      <c r="H293" s="347"/>
      <c r="I293" s="348"/>
      <c r="J293" s="145"/>
    </row>
    <row r="294" spans="1:10" x14ac:dyDescent="0.3">
      <c r="A294" s="145"/>
      <c r="B294" s="145"/>
      <c r="C294" s="145"/>
      <c r="D294" s="145"/>
      <c r="E294" s="345"/>
      <c r="F294" s="346"/>
      <c r="G294" s="347"/>
      <c r="H294" s="347"/>
      <c r="I294" s="348"/>
      <c r="J294" s="145"/>
    </row>
    <row r="295" spans="1:10" x14ac:dyDescent="0.3">
      <c r="A295" s="145"/>
      <c r="B295" s="145"/>
      <c r="C295" s="145"/>
      <c r="D295" s="145"/>
      <c r="E295" s="345"/>
      <c r="F295" s="346"/>
      <c r="G295" s="347"/>
      <c r="H295" s="347"/>
      <c r="I295" s="348"/>
      <c r="J295" s="145"/>
    </row>
    <row r="296" spans="1:10" x14ac:dyDescent="0.3">
      <c r="A296" s="145"/>
      <c r="B296" s="145"/>
      <c r="C296" s="145"/>
      <c r="D296" s="145"/>
      <c r="E296" s="145"/>
      <c r="F296" s="349"/>
      <c r="G296" s="145"/>
      <c r="H296" s="145"/>
      <c r="I296" s="145"/>
      <c r="J296" s="145"/>
    </row>
    <row r="297" spans="1:10" x14ac:dyDescent="0.3">
      <c r="A297" s="146"/>
      <c r="B297" s="145"/>
      <c r="C297" s="145"/>
      <c r="D297" s="145"/>
      <c r="E297" s="345"/>
      <c r="F297" s="346"/>
      <c r="G297" s="347"/>
      <c r="H297" s="347"/>
      <c r="I297" s="348"/>
      <c r="J297" s="145"/>
    </row>
    <row r="298" spans="1:10" x14ac:dyDescent="0.3">
      <c r="A298" s="145"/>
      <c r="B298" s="145"/>
      <c r="C298" s="145"/>
      <c r="D298" s="145"/>
      <c r="E298" s="345"/>
      <c r="F298" s="346"/>
      <c r="G298" s="347"/>
      <c r="H298" s="347"/>
      <c r="I298" s="348"/>
      <c r="J298" s="145"/>
    </row>
    <row r="299" spans="1:10" x14ac:dyDescent="0.3">
      <c r="A299" s="145"/>
      <c r="B299" s="145"/>
      <c r="C299" s="145"/>
      <c r="D299" s="145"/>
      <c r="E299" s="345"/>
      <c r="F299" s="346"/>
      <c r="G299" s="347"/>
      <c r="H299" s="347"/>
      <c r="I299" s="348"/>
      <c r="J299" s="145"/>
    </row>
    <row r="300" spans="1:10" x14ac:dyDescent="0.3">
      <c r="A300" s="145"/>
      <c r="B300" s="145"/>
      <c r="C300" s="145"/>
      <c r="D300" s="145"/>
      <c r="E300" s="345"/>
      <c r="F300" s="346"/>
      <c r="G300" s="347"/>
      <c r="H300" s="347"/>
      <c r="I300" s="348"/>
      <c r="J300" s="145"/>
    </row>
  </sheetData>
  <mergeCells count="3">
    <mergeCell ref="E71:H71"/>
    <mergeCell ref="O72:R72"/>
    <mergeCell ref="O106:R106"/>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2739AE-30D0-48C9-88A3-1E1024081F3E}">
  <dimension ref="A1:BB178"/>
  <sheetViews>
    <sheetView topLeftCell="AJ52" workbookViewId="0">
      <selection activeCell="BB53" sqref="BB53"/>
    </sheetView>
  </sheetViews>
  <sheetFormatPr defaultRowHeight="14.4" x14ac:dyDescent="0.3"/>
  <cols>
    <col min="1" max="1" width="46.33203125" style="221" customWidth="1"/>
    <col min="2" max="2" width="4" style="221" customWidth="1"/>
    <col min="3" max="3" width="25.109375" style="221" customWidth="1"/>
    <col min="4" max="4" width="30.33203125" style="221" customWidth="1"/>
    <col min="5" max="5" width="28.21875" style="221" customWidth="1"/>
    <col min="6" max="6" width="29" style="221" customWidth="1"/>
    <col min="7" max="7" width="17.109375" style="221" customWidth="1"/>
    <col min="8" max="8" width="2.33203125" style="221" customWidth="1"/>
    <col min="9" max="13" width="21.109375" style="221" customWidth="1"/>
    <col min="14" max="14" width="43.6640625" style="221" customWidth="1"/>
    <col min="15" max="18" width="23.88671875" style="221" customWidth="1"/>
    <col min="19" max="16384" width="8.88671875" style="221"/>
  </cols>
  <sheetData>
    <row r="1" spans="1:18" x14ac:dyDescent="0.3">
      <c r="A1" s="86" t="s">
        <v>975</v>
      </c>
      <c r="D1" s="221" t="s">
        <v>872</v>
      </c>
    </row>
    <row r="2" spans="1:18" x14ac:dyDescent="0.3">
      <c r="D2" s="221">
        <v>1368480.96</v>
      </c>
      <c r="E2" s="221">
        <v>1368480.96</v>
      </c>
      <c r="F2" s="221">
        <v>1368480.96</v>
      </c>
      <c r="G2" s="221">
        <v>1368480.96</v>
      </c>
    </row>
    <row r="3" spans="1:18" x14ac:dyDescent="0.3">
      <c r="A3" s="86" t="s">
        <v>741</v>
      </c>
      <c r="D3" s="221" t="s">
        <v>873</v>
      </c>
    </row>
    <row r="4" spans="1:18" x14ac:dyDescent="0.3">
      <c r="A4" s="86" t="s">
        <v>737</v>
      </c>
      <c r="D4" s="221">
        <v>27878400</v>
      </c>
      <c r="E4" s="221">
        <v>27878400</v>
      </c>
      <c r="F4" s="221">
        <v>27878400</v>
      </c>
      <c r="G4" s="221">
        <v>27878400</v>
      </c>
    </row>
    <row r="5" spans="1:18" x14ac:dyDescent="0.3">
      <c r="C5" s="221" t="s">
        <v>870</v>
      </c>
      <c r="D5" s="221">
        <v>4.9087499999999999E-2</v>
      </c>
      <c r="E5" s="221">
        <v>4.9087499999999999E-2</v>
      </c>
      <c r="F5" s="221">
        <v>4.9087499999999999E-2</v>
      </c>
      <c r="G5" s="221">
        <v>4.9087499999999999E-2</v>
      </c>
      <c r="O5" s="242" t="s">
        <v>779</v>
      </c>
      <c r="P5" s="242"/>
      <c r="Q5" s="242"/>
      <c r="R5" s="242"/>
    </row>
    <row r="6" spans="1:18" x14ac:dyDescent="0.3">
      <c r="C6" s="221" t="s">
        <v>871</v>
      </c>
      <c r="D6" s="221">
        <v>4.9087499999999999E-2</v>
      </c>
      <c r="E6" s="221">
        <v>4.8596624999999998</v>
      </c>
      <c r="F6" s="221">
        <v>4.8596624999999998</v>
      </c>
      <c r="G6" s="221">
        <v>4.9087499999999999E-2</v>
      </c>
      <c r="O6" s="220"/>
      <c r="P6" s="220"/>
      <c r="Q6" s="220"/>
      <c r="R6" s="220"/>
    </row>
    <row r="7" spans="1:18" s="222" customFormat="1" ht="115.2" x14ac:dyDescent="0.3">
      <c r="D7" s="107" t="s">
        <v>1062</v>
      </c>
      <c r="E7" s="107" t="s">
        <v>1063</v>
      </c>
      <c r="F7" s="107" t="s">
        <v>1064</v>
      </c>
      <c r="G7" s="107" t="s">
        <v>1065</v>
      </c>
      <c r="I7" s="176" t="s">
        <v>1054</v>
      </c>
      <c r="J7" s="176" t="s">
        <v>1055</v>
      </c>
      <c r="K7" s="176" t="s">
        <v>1056</v>
      </c>
      <c r="L7" s="176" t="s">
        <v>1057</v>
      </c>
      <c r="M7" s="225"/>
      <c r="O7" s="107" t="s">
        <v>1062</v>
      </c>
      <c r="P7" s="107" t="s">
        <v>1063</v>
      </c>
      <c r="Q7" s="107" t="s">
        <v>1064</v>
      </c>
      <c r="R7" s="107" t="s">
        <v>1065</v>
      </c>
    </row>
    <row r="8" spans="1:18" x14ac:dyDescent="0.3">
      <c r="A8" s="221" t="s">
        <v>743</v>
      </c>
      <c r="D8" s="221">
        <v>100</v>
      </c>
      <c r="E8" s="221">
        <v>100</v>
      </c>
      <c r="F8" s="221">
        <v>100</v>
      </c>
      <c r="G8" s="221">
        <v>100</v>
      </c>
      <c r="I8" s="2">
        <f>D8</f>
        <v>100</v>
      </c>
      <c r="J8" s="2">
        <f t="shared" ref="J8:L12" si="0">E8</f>
        <v>100</v>
      </c>
      <c r="K8" s="2">
        <f t="shared" si="0"/>
        <v>100</v>
      </c>
      <c r="L8" s="2">
        <f t="shared" si="0"/>
        <v>100</v>
      </c>
      <c r="M8" s="2"/>
      <c r="N8" s="2"/>
      <c r="O8" s="221">
        <v>100</v>
      </c>
      <c r="P8" s="221">
        <v>100</v>
      </c>
      <c r="Q8" s="221">
        <v>100</v>
      </c>
      <c r="R8" s="221">
        <v>100</v>
      </c>
    </row>
    <row r="9" spans="1:18" x14ac:dyDescent="0.3">
      <c r="A9" s="221" t="s">
        <v>745</v>
      </c>
      <c r="D9" s="221" t="s">
        <v>908</v>
      </c>
      <c r="E9" s="221" t="s">
        <v>908</v>
      </c>
      <c r="F9" s="221" t="s">
        <v>908</v>
      </c>
      <c r="G9" s="221" t="s">
        <v>908</v>
      </c>
      <c r="I9" s="2" t="str">
        <f t="shared" ref="I9:I12" si="1">D9</f>
        <v>92-115' (api 581) or 225-450' CFER</v>
      </c>
      <c r="J9" s="2" t="str">
        <f t="shared" si="0"/>
        <v>92-115' (api 581) or 225-450' CFER</v>
      </c>
      <c r="K9" s="2" t="str">
        <f t="shared" si="0"/>
        <v>92-115' (api 581) or 225-450' CFER</v>
      </c>
      <c r="L9" s="2" t="str">
        <f t="shared" si="0"/>
        <v>92-115' (api 581) or 225-450' CFER</v>
      </c>
      <c r="M9" s="2"/>
      <c r="N9" s="2"/>
      <c r="O9" s="221" t="s">
        <v>908</v>
      </c>
      <c r="P9" s="221" t="s">
        <v>908</v>
      </c>
      <c r="Q9" s="221" t="s">
        <v>908</v>
      </c>
      <c r="R9" s="221" t="s">
        <v>908</v>
      </c>
    </row>
    <row r="10" spans="1:18" x14ac:dyDescent="0.3">
      <c r="A10" s="221" t="s">
        <v>756</v>
      </c>
      <c r="D10" s="221" t="s">
        <v>910</v>
      </c>
      <c r="E10" s="221" t="s">
        <v>910</v>
      </c>
      <c r="F10" s="221" t="s">
        <v>910</v>
      </c>
      <c r="G10" s="221" t="s">
        <v>910</v>
      </c>
      <c r="I10" s="2" t="str">
        <f t="shared" si="1"/>
        <v>2.5 (2.5*115 = 288); 2.5*225=563</v>
      </c>
      <c r="J10" s="2" t="str">
        <f t="shared" si="0"/>
        <v>2.5 (2.5*115 = 288); 2.5*225=563</v>
      </c>
      <c r="K10" s="2" t="str">
        <f t="shared" si="0"/>
        <v>2.5 (2.5*115 = 288); 2.5*225=563</v>
      </c>
      <c r="L10" s="2" t="str">
        <f t="shared" si="0"/>
        <v>2.5 (2.5*115 = 288); 2.5*225=563</v>
      </c>
      <c r="M10" s="2"/>
      <c r="O10" s="221" t="s">
        <v>910</v>
      </c>
      <c r="P10" s="221" t="s">
        <v>910</v>
      </c>
      <c r="Q10" s="221" t="s">
        <v>910</v>
      </c>
      <c r="R10" s="221" t="s">
        <v>910</v>
      </c>
    </row>
    <row r="11" spans="1:18" x14ac:dyDescent="0.3">
      <c r="A11" s="221" t="s">
        <v>755</v>
      </c>
      <c r="D11" s="221">
        <v>660</v>
      </c>
      <c r="E11" s="221">
        <v>660</v>
      </c>
      <c r="F11" s="221">
        <v>660</v>
      </c>
      <c r="G11" s="221">
        <v>660</v>
      </c>
      <c r="I11" s="221">
        <f t="shared" si="1"/>
        <v>660</v>
      </c>
      <c r="J11" s="221">
        <f t="shared" si="0"/>
        <v>660</v>
      </c>
      <c r="K11" s="221">
        <f t="shared" si="0"/>
        <v>660</v>
      </c>
      <c r="L11" s="221">
        <f t="shared" si="0"/>
        <v>660</v>
      </c>
      <c r="O11" s="221">
        <v>660</v>
      </c>
      <c r="P11" s="221">
        <v>660</v>
      </c>
      <c r="Q11" s="221">
        <v>660</v>
      </c>
      <c r="R11" s="221">
        <v>660</v>
      </c>
    </row>
    <row r="12" spans="1:18" x14ac:dyDescent="0.3">
      <c r="A12" s="221" t="s">
        <v>760</v>
      </c>
      <c r="D12" s="221">
        <v>99</v>
      </c>
      <c r="E12" s="221">
        <v>1</v>
      </c>
      <c r="F12" s="221">
        <v>99</v>
      </c>
      <c r="G12" s="221">
        <v>1</v>
      </c>
      <c r="I12" s="221">
        <f t="shared" si="1"/>
        <v>99</v>
      </c>
      <c r="J12" s="221">
        <f t="shared" si="0"/>
        <v>1</v>
      </c>
      <c r="K12" s="221">
        <f t="shared" si="0"/>
        <v>99</v>
      </c>
      <c r="L12" s="221">
        <f t="shared" si="0"/>
        <v>1</v>
      </c>
      <c r="O12" s="221">
        <v>99</v>
      </c>
      <c r="P12" s="221">
        <v>1</v>
      </c>
      <c r="Q12" s="221">
        <v>99</v>
      </c>
      <c r="R12" s="221">
        <v>1</v>
      </c>
    </row>
    <row r="13" spans="1:18" x14ac:dyDescent="0.3">
      <c r="A13" s="221" t="s">
        <v>761</v>
      </c>
      <c r="D13" s="221">
        <v>5</v>
      </c>
      <c r="E13" s="221">
        <v>2E-3</v>
      </c>
      <c r="F13" s="221">
        <v>5</v>
      </c>
      <c r="G13" s="221">
        <v>2E-3</v>
      </c>
      <c r="I13" s="221">
        <f>5+D13</f>
        <v>10</v>
      </c>
      <c r="J13" s="221">
        <f t="shared" ref="J13:L13" si="2">5+E13</f>
        <v>5.0019999999999998</v>
      </c>
      <c r="K13" s="221">
        <f t="shared" si="2"/>
        <v>10</v>
      </c>
      <c r="L13" s="221">
        <f t="shared" si="2"/>
        <v>5.0019999999999998</v>
      </c>
      <c r="N13" s="221" t="s">
        <v>778</v>
      </c>
      <c r="O13" s="221">
        <v>5</v>
      </c>
      <c r="P13" s="221">
        <v>2E-3</v>
      </c>
      <c r="Q13" s="221">
        <v>5</v>
      </c>
      <c r="R13" s="221">
        <v>2E-3</v>
      </c>
    </row>
    <row r="14" spans="1:18" x14ac:dyDescent="0.3">
      <c r="A14" s="206"/>
      <c r="B14" s="204"/>
      <c r="C14" s="204" t="s">
        <v>763</v>
      </c>
      <c r="D14" s="183">
        <v>32325000.000000004</v>
      </c>
      <c r="E14" s="183">
        <v>12930</v>
      </c>
      <c r="F14" s="183">
        <v>32325000.000000004</v>
      </c>
      <c r="G14" s="183">
        <v>12930</v>
      </c>
      <c r="H14" s="101"/>
      <c r="I14" s="101">
        <f t="shared" ref="I14:L14" si="3">6.465*I13*1000000</f>
        <v>64650000.000000007</v>
      </c>
      <c r="J14" s="101">
        <f t="shared" si="3"/>
        <v>32337930</v>
      </c>
      <c r="K14" s="101">
        <f t="shared" si="3"/>
        <v>64650000.000000007</v>
      </c>
      <c r="L14" s="101">
        <f t="shared" si="3"/>
        <v>32337930</v>
      </c>
      <c r="M14" s="101"/>
      <c r="O14" s="101">
        <v>32325000.000000004</v>
      </c>
      <c r="P14" s="101">
        <v>12930</v>
      </c>
      <c r="Q14" s="101">
        <v>32325000.000000004</v>
      </c>
      <c r="R14" s="101">
        <v>12930</v>
      </c>
    </row>
    <row r="15" spans="1:18" x14ac:dyDescent="0.3">
      <c r="O15" s="172" t="s">
        <v>780</v>
      </c>
      <c r="P15" s="173"/>
      <c r="Q15" s="173"/>
      <c r="R15" s="173"/>
    </row>
    <row r="16" spans="1:18" x14ac:dyDescent="0.3">
      <c r="A16" s="221" t="s">
        <v>744</v>
      </c>
      <c r="D16" s="221" t="s">
        <v>909</v>
      </c>
      <c r="E16" s="221" t="s">
        <v>909</v>
      </c>
      <c r="F16" s="221" t="s">
        <v>909</v>
      </c>
      <c r="G16" s="221" t="s">
        <v>909</v>
      </c>
      <c r="I16" s="2" t="s">
        <v>812</v>
      </c>
      <c r="J16" s="2" t="s">
        <v>811</v>
      </c>
      <c r="K16" s="2" t="s">
        <v>811</v>
      </c>
      <c r="L16" s="2" t="s">
        <v>811</v>
      </c>
      <c r="M16" s="2"/>
      <c r="O16" s="221" t="s">
        <v>909</v>
      </c>
      <c r="P16" s="221" t="s">
        <v>909</v>
      </c>
      <c r="Q16" s="221" t="s">
        <v>909</v>
      </c>
      <c r="R16" s="221" t="s">
        <v>909</v>
      </c>
    </row>
    <row r="17" spans="1:18" x14ac:dyDescent="0.3">
      <c r="A17" s="221" t="s">
        <v>82</v>
      </c>
      <c r="D17" s="221">
        <v>5</v>
      </c>
      <c r="E17" s="221">
        <v>5</v>
      </c>
      <c r="F17" s="221">
        <v>5</v>
      </c>
      <c r="G17" s="221">
        <v>5</v>
      </c>
      <c r="I17" s="2" t="s">
        <v>811</v>
      </c>
      <c r="J17" s="2" t="s">
        <v>811</v>
      </c>
      <c r="K17" s="2" t="s">
        <v>811</v>
      </c>
      <c r="L17" s="2" t="s">
        <v>811</v>
      </c>
      <c r="M17" s="2"/>
      <c r="O17" s="221">
        <v>5</v>
      </c>
      <c r="P17" s="221">
        <v>5</v>
      </c>
      <c r="Q17" s="221">
        <v>5</v>
      </c>
      <c r="R17" s="221">
        <v>5</v>
      </c>
    </row>
    <row r="18" spans="1:18" x14ac:dyDescent="0.3">
      <c r="A18" s="221" t="s">
        <v>742</v>
      </c>
      <c r="D18" s="221">
        <v>120</v>
      </c>
      <c r="E18" s="221">
        <v>120</v>
      </c>
      <c r="F18" s="221">
        <v>99</v>
      </c>
      <c r="G18" s="221">
        <v>99</v>
      </c>
      <c r="I18" s="2" t="s">
        <v>811</v>
      </c>
      <c r="J18" s="2" t="s">
        <v>811</v>
      </c>
      <c r="K18" s="2" t="s">
        <v>811</v>
      </c>
      <c r="L18" s="2" t="s">
        <v>811</v>
      </c>
      <c r="M18" s="2"/>
      <c r="O18" s="221">
        <v>120</v>
      </c>
      <c r="P18" s="221">
        <v>120</v>
      </c>
      <c r="Q18" s="221">
        <v>99</v>
      </c>
      <c r="R18" s="221">
        <v>99</v>
      </c>
    </row>
    <row r="19" spans="1:18" x14ac:dyDescent="0.3">
      <c r="A19" s="221" t="s">
        <v>92</v>
      </c>
      <c r="D19" s="221">
        <v>544.9</v>
      </c>
      <c r="E19" s="221">
        <v>544.9</v>
      </c>
      <c r="F19" s="221">
        <v>54.9</v>
      </c>
      <c r="G19" s="221">
        <v>54.9</v>
      </c>
      <c r="I19" s="2" t="s">
        <v>811</v>
      </c>
      <c r="J19" s="2" t="s">
        <v>811</v>
      </c>
      <c r="K19" s="2" t="s">
        <v>811</v>
      </c>
      <c r="L19" s="2" t="s">
        <v>811</v>
      </c>
      <c r="M19" s="2"/>
      <c r="O19" s="221">
        <v>544.9</v>
      </c>
      <c r="P19" s="221">
        <v>544.9</v>
      </c>
      <c r="Q19" s="221">
        <v>54.9</v>
      </c>
      <c r="R19" s="221">
        <v>54.9</v>
      </c>
    </row>
    <row r="20" spans="1:18" x14ac:dyDescent="0.3">
      <c r="A20" s="206" t="s">
        <v>907</v>
      </c>
      <c r="B20" s="204"/>
      <c r="C20" s="204" t="s">
        <v>764</v>
      </c>
      <c r="D20" s="183">
        <v>123768002</v>
      </c>
      <c r="E20" s="183">
        <v>123768002</v>
      </c>
      <c r="F20" s="183">
        <v>12379072</v>
      </c>
      <c r="G20" s="183">
        <v>12379072</v>
      </c>
      <c r="I20" s="2" t="s">
        <v>811</v>
      </c>
      <c r="J20" s="2" t="s">
        <v>811</v>
      </c>
      <c r="K20" s="2" t="s">
        <v>811</v>
      </c>
      <c r="L20" s="2" t="s">
        <v>811</v>
      </c>
      <c r="M20" s="2"/>
      <c r="O20" s="101">
        <f>D20</f>
        <v>123768002</v>
      </c>
      <c r="P20" s="101">
        <f>E20</f>
        <v>123768002</v>
      </c>
      <c r="Q20" s="101">
        <f>F20</f>
        <v>12379072</v>
      </c>
      <c r="R20" s="101">
        <f>G20</f>
        <v>12379072</v>
      </c>
    </row>
    <row r="21" spans="1:18" x14ac:dyDescent="0.3">
      <c r="I21" s="221" t="s">
        <v>813</v>
      </c>
      <c r="O21" s="172" t="s">
        <v>780</v>
      </c>
      <c r="P21" s="173"/>
      <c r="Q21" s="173"/>
      <c r="R21" s="173"/>
    </row>
    <row r="22" spans="1:18" x14ac:dyDescent="0.3">
      <c r="A22" s="221" t="s">
        <v>500</v>
      </c>
    </row>
    <row r="23" spans="1:18" x14ac:dyDescent="0.3">
      <c r="A23" s="221" t="s">
        <v>546</v>
      </c>
      <c r="D23" s="101">
        <v>5000000</v>
      </c>
      <c r="E23" s="101">
        <v>5000000</v>
      </c>
      <c r="F23" s="101">
        <v>5000000</v>
      </c>
      <c r="G23" s="101">
        <v>5000000</v>
      </c>
      <c r="I23" s="101">
        <f>0.13*D23</f>
        <v>650000</v>
      </c>
      <c r="J23" s="101">
        <f t="shared" ref="J23:L27" si="4">0.13*E23</f>
        <v>650000</v>
      </c>
      <c r="K23" s="101">
        <f t="shared" si="4"/>
        <v>650000</v>
      </c>
      <c r="L23" s="101">
        <f t="shared" si="4"/>
        <v>650000</v>
      </c>
      <c r="M23" s="101"/>
      <c r="O23" s="101">
        <f>D23</f>
        <v>5000000</v>
      </c>
      <c r="P23" s="101">
        <f>E23</f>
        <v>5000000</v>
      </c>
      <c r="Q23" s="101">
        <f>F23</f>
        <v>5000000</v>
      </c>
      <c r="R23" s="101">
        <f>G23</f>
        <v>5000000</v>
      </c>
    </row>
    <row r="24" spans="1:18" x14ac:dyDescent="0.3">
      <c r="A24" s="221" t="s">
        <v>555</v>
      </c>
      <c r="D24" s="101">
        <v>5000000</v>
      </c>
      <c r="E24" s="101">
        <v>5000000</v>
      </c>
      <c r="F24" s="101">
        <v>5000000</v>
      </c>
      <c r="G24" s="101">
        <v>5000000</v>
      </c>
      <c r="I24" s="101">
        <f t="shared" ref="I24:I27" si="5">0.13*D24</f>
        <v>650000</v>
      </c>
      <c r="J24" s="101">
        <f t="shared" si="4"/>
        <v>650000</v>
      </c>
      <c r="K24" s="101">
        <f t="shared" si="4"/>
        <v>650000</v>
      </c>
      <c r="L24" s="101">
        <f t="shared" si="4"/>
        <v>650000</v>
      </c>
      <c r="M24" s="101"/>
      <c r="O24" s="101">
        <f t="shared" ref="O24:R27" si="6">D24</f>
        <v>5000000</v>
      </c>
      <c r="P24" s="101">
        <f t="shared" si="6"/>
        <v>5000000</v>
      </c>
      <c r="Q24" s="101">
        <f t="shared" si="6"/>
        <v>5000000</v>
      </c>
      <c r="R24" s="101">
        <f t="shared" si="6"/>
        <v>5000000</v>
      </c>
    </row>
    <row r="25" spans="1:18" x14ac:dyDescent="0.3">
      <c r="A25" s="221" t="s">
        <v>547</v>
      </c>
      <c r="D25" s="101">
        <v>2000000</v>
      </c>
      <c r="E25" s="101">
        <v>2000000</v>
      </c>
      <c r="F25" s="101">
        <v>2000000</v>
      </c>
      <c r="G25" s="101">
        <v>2000000</v>
      </c>
      <c r="I25" s="101">
        <f t="shared" si="5"/>
        <v>260000</v>
      </c>
      <c r="J25" s="101">
        <f t="shared" si="4"/>
        <v>260000</v>
      </c>
      <c r="K25" s="101">
        <f t="shared" si="4"/>
        <v>260000</v>
      </c>
      <c r="L25" s="101">
        <f t="shared" si="4"/>
        <v>260000</v>
      </c>
      <c r="M25" s="101"/>
      <c r="O25" s="101">
        <f t="shared" si="6"/>
        <v>2000000</v>
      </c>
      <c r="P25" s="101">
        <f t="shared" si="6"/>
        <v>2000000</v>
      </c>
      <c r="Q25" s="101">
        <f t="shared" si="6"/>
        <v>2000000</v>
      </c>
      <c r="R25" s="101">
        <f t="shared" si="6"/>
        <v>2000000</v>
      </c>
    </row>
    <row r="26" spans="1:18" x14ac:dyDescent="0.3">
      <c r="A26" s="204" t="s">
        <v>548</v>
      </c>
      <c r="B26" s="206" t="s">
        <v>900</v>
      </c>
      <c r="C26" s="205"/>
      <c r="D26" s="183">
        <v>2177040</v>
      </c>
      <c r="E26" s="183">
        <v>2177040</v>
      </c>
      <c r="F26" s="183">
        <v>2177040</v>
      </c>
      <c r="G26" s="183">
        <v>2177040</v>
      </c>
      <c r="I26" s="101">
        <f>0.13*D26</f>
        <v>283015.2</v>
      </c>
      <c r="J26" s="101">
        <f t="shared" si="4"/>
        <v>283015.2</v>
      </c>
      <c r="K26" s="101">
        <f t="shared" si="4"/>
        <v>283015.2</v>
      </c>
      <c r="L26" s="101">
        <f t="shared" si="4"/>
        <v>283015.2</v>
      </c>
      <c r="M26" s="101"/>
      <c r="O26" s="101">
        <f t="shared" si="6"/>
        <v>2177040</v>
      </c>
      <c r="P26" s="101">
        <f t="shared" si="6"/>
        <v>2177040</v>
      </c>
      <c r="Q26" s="101">
        <f t="shared" si="6"/>
        <v>2177040</v>
      </c>
      <c r="R26" s="101">
        <f t="shared" si="6"/>
        <v>2177040</v>
      </c>
    </row>
    <row r="27" spans="1:18" x14ac:dyDescent="0.3">
      <c r="A27" s="221" t="s">
        <v>550</v>
      </c>
      <c r="D27" s="101">
        <v>10000000</v>
      </c>
      <c r="E27" s="101">
        <v>10000000</v>
      </c>
      <c r="F27" s="101">
        <v>10000000</v>
      </c>
      <c r="G27" s="101">
        <v>10000000</v>
      </c>
      <c r="I27" s="101">
        <f t="shared" si="5"/>
        <v>1300000</v>
      </c>
      <c r="J27" s="101">
        <f t="shared" si="4"/>
        <v>1300000</v>
      </c>
      <c r="K27" s="101">
        <f t="shared" si="4"/>
        <v>1300000</v>
      </c>
      <c r="L27" s="101">
        <f t="shared" si="4"/>
        <v>1300000</v>
      </c>
      <c r="M27" s="101"/>
      <c r="O27" s="101">
        <f t="shared" si="6"/>
        <v>10000000</v>
      </c>
      <c r="P27" s="101">
        <f t="shared" si="6"/>
        <v>10000000</v>
      </c>
      <c r="Q27" s="101">
        <f t="shared" si="6"/>
        <v>10000000</v>
      </c>
      <c r="R27" s="101">
        <f t="shared" si="6"/>
        <v>10000000</v>
      </c>
    </row>
    <row r="28" spans="1:18" x14ac:dyDescent="0.3">
      <c r="G28" s="101"/>
      <c r="O28" s="172" t="s">
        <v>780</v>
      </c>
      <c r="P28" s="173"/>
      <c r="Q28" s="173"/>
      <c r="R28" s="173"/>
    </row>
    <row r="29" spans="1:18" x14ac:dyDescent="0.3">
      <c r="A29" s="221" t="s">
        <v>762</v>
      </c>
      <c r="G29" s="101"/>
      <c r="R29" s="101"/>
    </row>
    <row r="30" spans="1:18" x14ac:dyDescent="0.3">
      <c r="A30" s="221" t="str">
        <f>'Svc-Reliability-Finan COFcalc'!A7</f>
        <v>emergency response and incident management cost</v>
      </c>
      <c r="D30" s="101">
        <v>5000000</v>
      </c>
      <c r="E30" s="101">
        <v>5000000</v>
      </c>
      <c r="F30" s="101">
        <v>5000000</v>
      </c>
      <c r="G30" s="101">
        <v>5000000</v>
      </c>
      <c r="I30" s="101">
        <f>0.13*D30</f>
        <v>650000</v>
      </c>
      <c r="J30" s="101">
        <f t="shared" ref="J30:L45" si="7">0.13*E30</f>
        <v>650000</v>
      </c>
      <c r="K30" s="101">
        <f t="shared" si="7"/>
        <v>650000</v>
      </c>
      <c r="L30" s="101">
        <f t="shared" si="7"/>
        <v>650000</v>
      </c>
      <c r="M30" s="101"/>
      <c r="O30" s="101">
        <f>D30</f>
        <v>5000000</v>
      </c>
      <c r="P30" s="101">
        <f>E30</f>
        <v>5000000</v>
      </c>
      <c r="Q30" s="101">
        <f>F30</f>
        <v>5000000</v>
      </c>
      <c r="R30" s="101">
        <f>G30</f>
        <v>5000000</v>
      </c>
    </row>
    <row r="31" spans="1:18" x14ac:dyDescent="0.3">
      <c r="A31" s="221" t="str">
        <f>'Svc-Reliability-Finan COFcalc'!A8</f>
        <v>product lost during leak</v>
      </c>
      <c r="D31" s="101">
        <v>5760000</v>
      </c>
      <c r="E31" s="101">
        <v>5760000</v>
      </c>
      <c r="F31" s="101">
        <v>5760000</v>
      </c>
      <c r="G31" s="101">
        <v>5760000</v>
      </c>
      <c r="I31" s="101">
        <f t="shared" ref="I31:I45" si="8">0.13*D31</f>
        <v>748800</v>
      </c>
      <c r="J31" s="101">
        <f t="shared" si="7"/>
        <v>748800</v>
      </c>
      <c r="K31" s="101">
        <f t="shared" si="7"/>
        <v>748800</v>
      </c>
      <c r="L31" s="101">
        <f t="shared" si="7"/>
        <v>748800</v>
      </c>
      <c r="M31" s="101"/>
      <c r="O31" s="101">
        <f t="shared" ref="O31:R45" si="9">D31</f>
        <v>5760000</v>
      </c>
      <c r="P31" s="101">
        <f t="shared" si="9"/>
        <v>5760000</v>
      </c>
      <c r="Q31" s="101">
        <f t="shared" si="9"/>
        <v>5760000</v>
      </c>
      <c r="R31" s="101">
        <f t="shared" si="9"/>
        <v>5760000</v>
      </c>
    </row>
    <row r="32" spans="1:18" x14ac:dyDescent="0.3">
      <c r="A32" s="221" t="str">
        <f>'Svc-Reliability-Finan COFcalc'!A9</f>
        <v>degradation of product/service quality</v>
      </c>
      <c r="D32" s="101">
        <v>10000000</v>
      </c>
      <c r="E32" s="101">
        <v>10000000</v>
      </c>
      <c r="F32" s="101">
        <v>10000000</v>
      </c>
      <c r="G32" s="101">
        <v>10000000</v>
      </c>
      <c r="I32" s="101">
        <f t="shared" si="8"/>
        <v>1300000</v>
      </c>
      <c r="J32" s="101">
        <f t="shared" si="7"/>
        <v>1300000</v>
      </c>
      <c r="K32" s="101">
        <f t="shared" si="7"/>
        <v>1300000</v>
      </c>
      <c r="L32" s="101">
        <f t="shared" si="7"/>
        <v>1300000</v>
      </c>
      <c r="M32" s="101"/>
      <c r="O32" s="101">
        <f t="shared" si="9"/>
        <v>10000000</v>
      </c>
      <c r="P32" s="101">
        <f t="shared" si="9"/>
        <v>10000000</v>
      </c>
      <c r="Q32" s="101">
        <f t="shared" si="9"/>
        <v>10000000</v>
      </c>
      <c r="R32" s="101">
        <f t="shared" si="9"/>
        <v>10000000</v>
      </c>
    </row>
    <row r="33" spans="1:52" x14ac:dyDescent="0.3">
      <c r="A33" s="221" t="str">
        <f>'Svc-Reliability-Finan COFcalc'!A10</f>
        <v>business interruption/service interruption cost, loss of market share/loss of customers</v>
      </c>
      <c r="D33" s="101">
        <v>10000000</v>
      </c>
      <c r="E33" s="101">
        <v>10000000</v>
      </c>
      <c r="F33" s="101">
        <v>10000000</v>
      </c>
      <c r="G33" s="101">
        <v>10000000</v>
      </c>
      <c r="I33" s="101">
        <f t="shared" si="8"/>
        <v>1300000</v>
      </c>
      <c r="J33" s="101">
        <f t="shared" si="7"/>
        <v>1300000</v>
      </c>
      <c r="K33" s="101">
        <f t="shared" si="7"/>
        <v>1300000</v>
      </c>
      <c r="L33" s="101">
        <f t="shared" si="7"/>
        <v>1300000</v>
      </c>
      <c r="M33" s="101"/>
      <c r="O33" s="101">
        <f t="shared" si="9"/>
        <v>10000000</v>
      </c>
      <c r="P33" s="101">
        <f t="shared" si="9"/>
        <v>10000000</v>
      </c>
      <c r="Q33" s="101">
        <f t="shared" si="9"/>
        <v>10000000</v>
      </c>
      <c r="R33" s="101">
        <f t="shared" si="9"/>
        <v>10000000</v>
      </c>
    </row>
    <row r="34" spans="1:52" x14ac:dyDescent="0.3">
      <c r="A34" s="221" t="str">
        <f>'Svc-Reliability-Finan COFcalc'!A11</f>
        <v>ability to compensate for flow/service loss</v>
      </c>
      <c r="D34" s="101">
        <v>10000000</v>
      </c>
      <c r="E34" s="101">
        <v>10000000</v>
      </c>
      <c r="F34" s="101">
        <v>10000000</v>
      </c>
      <c r="G34" s="101">
        <v>10000000</v>
      </c>
      <c r="I34" s="101">
        <f t="shared" si="8"/>
        <v>1300000</v>
      </c>
      <c r="J34" s="101">
        <f t="shared" si="7"/>
        <v>1300000</v>
      </c>
      <c r="K34" s="101">
        <f t="shared" si="7"/>
        <v>1300000</v>
      </c>
      <c r="L34" s="101">
        <f t="shared" si="7"/>
        <v>1300000</v>
      </c>
      <c r="M34" s="101"/>
      <c r="O34" s="101">
        <f t="shared" si="9"/>
        <v>10000000</v>
      </c>
      <c r="P34" s="101">
        <f t="shared" si="9"/>
        <v>10000000</v>
      </c>
      <c r="Q34" s="101">
        <f t="shared" si="9"/>
        <v>10000000</v>
      </c>
      <c r="R34" s="101">
        <f t="shared" si="9"/>
        <v>10000000</v>
      </c>
    </row>
    <row r="35" spans="1:52" x14ac:dyDescent="0.3">
      <c r="A35" s="221" t="str">
        <f>'Svc-Reliability-Finan COFcalc'!A12</f>
        <v>deployment costs for emergency response personnel</v>
      </c>
      <c r="D35" s="101">
        <v>5000000</v>
      </c>
      <c r="E35" s="101">
        <v>5000000</v>
      </c>
      <c r="F35" s="101">
        <v>5000000</v>
      </c>
      <c r="G35" s="101">
        <v>5000000</v>
      </c>
      <c r="I35" s="101">
        <f t="shared" si="8"/>
        <v>650000</v>
      </c>
      <c r="J35" s="101">
        <f t="shared" si="7"/>
        <v>650000</v>
      </c>
      <c r="K35" s="101">
        <f t="shared" si="7"/>
        <v>650000</v>
      </c>
      <c r="L35" s="101">
        <f t="shared" si="7"/>
        <v>650000</v>
      </c>
      <c r="M35" s="101"/>
      <c r="O35" s="101">
        <f t="shared" si="9"/>
        <v>5000000</v>
      </c>
      <c r="P35" s="101">
        <f t="shared" si="9"/>
        <v>5000000</v>
      </c>
      <c r="Q35" s="101">
        <f t="shared" si="9"/>
        <v>5000000</v>
      </c>
      <c r="R35" s="101">
        <f t="shared" si="9"/>
        <v>5000000</v>
      </c>
    </row>
    <row r="36" spans="1:52" x14ac:dyDescent="0.3">
      <c r="A36" s="221" t="str">
        <f>'Svc-Reliability-Finan COFcalc'!A13</f>
        <v xml:space="preserve">equipment repair and restoration </v>
      </c>
      <c r="D36" s="101">
        <v>10000000</v>
      </c>
      <c r="E36" s="101">
        <v>10000000</v>
      </c>
      <c r="F36" s="101">
        <v>10000000</v>
      </c>
      <c r="G36" s="101">
        <v>10000000</v>
      </c>
      <c r="I36" s="101">
        <f t="shared" si="8"/>
        <v>1300000</v>
      </c>
      <c r="J36" s="101">
        <f t="shared" si="7"/>
        <v>1300000</v>
      </c>
      <c r="K36" s="101">
        <f t="shared" si="7"/>
        <v>1300000</v>
      </c>
      <c r="L36" s="101">
        <f t="shared" si="7"/>
        <v>1300000</v>
      </c>
      <c r="M36" s="101"/>
      <c r="O36" s="101">
        <f t="shared" si="9"/>
        <v>10000000</v>
      </c>
      <c r="P36" s="101">
        <f t="shared" si="9"/>
        <v>10000000</v>
      </c>
      <c r="Q36" s="101">
        <f t="shared" si="9"/>
        <v>10000000</v>
      </c>
      <c r="R36" s="101">
        <f t="shared" si="9"/>
        <v>10000000</v>
      </c>
    </row>
    <row r="37" spans="1:52" x14ac:dyDescent="0.3">
      <c r="A37" s="221" t="str">
        <f>'Svc-Reliability-Finan COFcalc'!A14</f>
        <v xml:space="preserve"> on-site and off-site property damage [incl. damage to adjacent eqpt and further business/service impacts] </v>
      </c>
      <c r="D37" s="101">
        <v>10000000</v>
      </c>
      <c r="E37" s="101">
        <v>10000000</v>
      </c>
      <c r="F37" s="101">
        <v>5000000</v>
      </c>
      <c r="G37" s="101">
        <v>5000000</v>
      </c>
      <c r="I37" s="101">
        <f t="shared" si="8"/>
        <v>1300000</v>
      </c>
      <c r="J37" s="101">
        <f t="shared" si="7"/>
        <v>1300000</v>
      </c>
      <c r="K37" s="101">
        <f t="shared" si="7"/>
        <v>650000</v>
      </c>
      <c r="L37" s="101">
        <f t="shared" si="7"/>
        <v>650000</v>
      </c>
      <c r="M37" s="101"/>
      <c r="O37" s="101">
        <f t="shared" si="9"/>
        <v>10000000</v>
      </c>
      <c r="P37" s="101">
        <f t="shared" si="9"/>
        <v>10000000</v>
      </c>
      <c r="Q37" s="101">
        <f t="shared" si="9"/>
        <v>5000000</v>
      </c>
      <c r="R37" s="101">
        <f t="shared" si="9"/>
        <v>5000000</v>
      </c>
    </row>
    <row r="38" spans="1:52" x14ac:dyDescent="0.3">
      <c r="A38" s="221" t="str">
        <f>'Svc-Reliability-Finan COFcalc'!A15</f>
        <v>relocation/reimbursement</v>
      </c>
      <c r="D38" s="101">
        <v>2000000</v>
      </c>
      <c r="E38" s="101">
        <v>2000000</v>
      </c>
      <c r="F38" s="101">
        <v>1000000</v>
      </c>
      <c r="G38" s="101">
        <v>1000000</v>
      </c>
      <c r="I38" s="101">
        <f t="shared" si="8"/>
        <v>260000</v>
      </c>
      <c r="J38" s="101">
        <f t="shared" si="7"/>
        <v>260000</v>
      </c>
      <c r="K38" s="101">
        <f t="shared" si="7"/>
        <v>130000</v>
      </c>
      <c r="L38" s="101">
        <f t="shared" si="7"/>
        <v>130000</v>
      </c>
      <c r="M38" s="101"/>
      <c r="O38" s="101">
        <f t="shared" si="9"/>
        <v>2000000</v>
      </c>
      <c r="P38" s="101">
        <f t="shared" si="9"/>
        <v>2000000</v>
      </c>
      <c r="Q38" s="101">
        <f t="shared" si="9"/>
        <v>1000000</v>
      </c>
      <c r="R38" s="101">
        <f t="shared" si="9"/>
        <v>1000000</v>
      </c>
    </row>
    <row r="39" spans="1:52" x14ac:dyDescent="0.3">
      <c r="A39" s="221" t="str">
        <f>'Svc-Reliability-Finan COFcalc'!A16</f>
        <v>cost of cascading business risk [interruption of flow/feed to the next point curtails that activity as well]</v>
      </c>
      <c r="D39" s="101">
        <v>5000000</v>
      </c>
      <c r="E39" s="101">
        <v>5000000</v>
      </c>
      <c r="F39" s="101">
        <v>5000000</v>
      </c>
      <c r="G39" s="101">
        <v>5000000</v>
      </c>
      <c r="I39" s="101">
        <f t="shared" si="8"/>
        <v>650000</v>
      </c>
      <c r="J39" s="101">
        <f t="shared" si="7"/>
        <v>650000</v>
      </c>
      <c r="K39" s="101">
        <f t="shared" si="7"/>
        <v>650000</v>
      </c>
      <c r="L39" s="101">
        <f t="shared" si="7"/>
        <v>650000</v>
      </c>
      <c r="M39" s="101"/>
      <c r="O39" s="101">
        <f t="shared" si="9"/>
        <v>5000000</v>
      </c>
      <c r="P39" s="101">
        <f t="shared" si="9"/>
        <v>5000000</v>
      </c>
      <c r="Q39" s="101">
        <f t="shared" si="9"/>
        <v>5000000</v>
      </c>
      <c r="R39" s="101">
        <f t="shared" si="9"/>
        <v>5000000</v>
      </c>
    </row>
    <row r="40" spans="1:52" x14ac:dyDescent="0.3">
      <c r="A40" s="221" t="str">
        <f>'Svc-Reliability-Finan COFcalc'!A17</f>
        <v xml:space="preserve">loss of goodwill/public reputation </v>
      </c>
      <c r="D40" s="101">
        <v>5000000</v>
      </c>
      <c r="E40" s="101">
        <v>5000000</v>
      </c>
      <c r="F40" s="101">
        <v>2000000</v>
      </c>
      <c r="G40" s="101">
        <v>2000000</v>
      </c>
      <c r="I40" s="101">
        <f t="shared" si="8"/>
        <v>650000</v>
      </c>
      <c r="J40" s="101">
        <f t="shared" si="7"/>
        <v>650000</v>
      </c>
      <c r="K40" s="101">
        <f t="shared" si="7"/>
        <v>260000</v>
      </c>
      <c r="L40" s="101">
        <f t="shared" si="7"/>
        <v>260000</v>
      </c>
      <c r="M40" s="101"/>
      <c r="O40" s="101">
        <f t="shared" si="9"/>
        <v>5000000</v>
      </c>
      <c r="P40" s="101">
        <f t="shared" si="9"/>
        <v>5000000</v>
      </c>
      <c r="Q40" s="101">
        <f t="shared" si="9"/>
        <v>2000000</v>
      </c>
      <c r="R40" s="101">
        <f t="shared" si="9"/>
        <v>2000000</v>
      </c>
    </row>
    <row r="41" spans="1:52" x14ac:dyDescent="0.3">
      <c r="A41" s="221" t="str">
        <f>'Svc-Reliability-Finan COFcalc'!A18</f>
        <v>increased cost of insurance</v>
      </c>
      <c r="D41" s="101">
        <v>10000000</v>
      </c>
      <c r="E41" s="101">
        <v>10000000</v>
      </c>
      <c r="F41" s="101">
        <v>5000000</v>
      </c>
      <c r="G41" s="101">
        <v>5000000</v>
      </c>
      <c r="I41" s="101">
        <f t="shared" si="8"/>
        <v>1300000</v>
      </c>
      <c r="J41" s="101">
        <f t="shared" si="7"/>
        <v>1300000</v>
      </c>
      <c r="K41" s="101">
        <f t="shared" si="7"/>
        <v>650000</v>
      </c>
      <c r="L41" s="101">
        <f t="shared" si="7"/>
        <v>650000</v>
      </c>
      <c r="M41" s="101"/>
      <c r="O41" s="101">
        <f t="shared" si="9"/>
        <v>10000000</v>
      </c>
      <c r="P41" s="101">
        <f t="shared" si="9"/>
        <v>10000000</v>
      </c>
      <c r="Q41" s="101">
        <f t="shared" si="9"/>
        <v>5000000</v>
      </c>
      <c r="R41" s="101">
        <f t="shared" si="9"/>
        <v>5000000</v>
      </c>
    </row>
    <row r="42" spans="1:52" x14ac:dyDescent="0.3">
      <c r="A42" s="221" t="str">
        <f>'Svc-Reliability-Finan COFcalc'!A19</f>
        <v xml:space="preserve"> litigation costs</v>
      </c>
      <c r="D42" s="101">
        <v>50000000</v>
      </c>
      <c r="E42" s="101">
        <v>50000000</v>
      </c>
      <c r="F42" s="101">
        <v>20000000</v>
      </c>
      <c r="G42" s="101">
        <v>20000000</v>
      </c>
      <c r="I42" s="101">
        <f t="shared" si="8"/>
        <v>6500000</v>
      </c>
      <c r="J42" s="101">
        <f t="shared" si="7"/>
        <v>6500000</v>
      </c>
      <c r="K42" s="101">
        <f t="shared" si="7"/>
        <v>2600000</v>
      </c>
      <c r="L42" s="101">
        <f t="shared" si="7"/>
        <v>2600000</v>
      </c>
      <c r="M42" s="101"/>
      <c r="O42" s="101">
        <f t="shared" si="9"/>
        <v>50000000</v>
      </c>
      <c r="P42" s="101">
        <f t="shared" si="9"/>
        <v>50000000</v>
      </c>
      <c r="Q42" s="101">
        <f t="shared" si="9"/>
        <v>20000000</v>
      </c>
      <c r="R42" s="101">
        <f t="shared" si="9"/>
        <v>20000000</v>
      </c>
    </row>
    <row r="43" spans="1:52" x14ac:dyDescent="0.3">
      <c r="A43" s="221" t="str">
        <f>'Svc-Reliability-Finan COFcalc'!A20</f>
        <v xml:space="preserve">regulatory actions/fines/cost of new regs </v>
      </c>
      <c r="D43" s="101">
        <v>50000000</v>
      </c>
      <c r="E43" s="101">
        <v>50000000</v>
      </c>
      <c r="F43" s="101">
        <v>20000000</v>
      </c>
      <c r="G43" s="101">
        <v>20000000</v>
      </c>
      <c r="I43" s="101">
        <f t="shared" si="8"/>
        <v>6500000</v>
      </c>
      <c r="J43" s="101">
        <f t="shared" si="7"/>
        <v>6500000</v>
      </c>
      <c r="K43" s="101">
        <f t="shared" si="7"/>
        <v>2600000</v>
      </c>
      <c r="L43" s="101">
        <f t="shared" si="7"/>
        <v>2600000</v>
      </c>
      <c r="M43" s="101"/>
      <c r="O43" s="101">
        <f t="shared" si="9"/>
        <v>50000000</v>
      </c>
      <c r="P43" s="101">
        <f t="shared" si="9"/>
        <v>50000000</v>
      </c>
      <c r="Q43" s="101">
        <f t="shared" si="9"/>
        <v>20000000</v>
      </c>
      <c r="R43" s="101">
        <f t="shared" si="9"/>
        <v>20000000</v>
      </c>
    </row>
    <row r="44" spans="1:52" x14ac:dyDescent="0.3">
      <c r="A44" s="221" t="str">
        <f>'Svc-Reliability-Finan COFcalc'!A23</f>
        <v>Home air/local water source monitoring</v>
      </c>
      <c r="D44" s="101">
        <v>5000000</v>
      </c>
      <c r="E44" s="101">
        <v>5000000</v>
      </c>
      <c r="F44" s="101">
        <v>1000000</v>
      </c>
      <c r="G44" s="101">
        <v>1000000</v>
      </c>
      <c r="I44" s="101">
        <f t="shared" si="8"/>
        <v>650000</v>
      </c>
      <c r="J44" s="101">
        <f t="shared" si="7"/>
        <v>650000</v>
      </c>
      <c r="K44" s="101">
        <f t="shared" si="7"/>
        <v>130000</v>
      </c>
      <c r="L44" s="101">
        <f t="shared" si="7"/>
        <v>130000</v>
      </c>
      <c r="M44" s="101"/>
      <c r="O44" s="101">
        <f t="shared" si="9"/>
        <v>5000000</v>
      </c>
      <c r="P44" s="101">
        <f t="shared" si="9"/>
        <v>5000000</v>
      </c>
      <c r="Q44" s="101">
        <f t="shared" si="9"/>
        <v>1000000</v>
      </c>
      <c r="R44" s="101">
        <f t="shared" si="9"/>
        <v>1000000</v>
      </c>
    </row>
    <row r="45" spans="1:52" x14ac:dyDescent="0.3">
      <c r="A45" s="221" t="str">
        <f>'Svc-Reliability-Finan COFcalc'!A28</f>
        <v>Wildlife/endangered species impact</v>
      </c>
      <c r="D45" s="101">
        <v>500000</v>
      </c>
      <c r="E45" s="101">
        <v>500000</v>
      </c>
      <c r="F45" s="101">
        <v>500000</v>
      </c>
      <c r="G45" s="101">
        <v>500000</v>
      </c>
      <c r="I45" s="101">
        <f t="shared" si="8"/>
        <v>65000</v>
      </c>
      <c r="J45" s="101">
        <f t="shared" si="7"/>
        <v>65000</v>
      </c>
      <c r="K45" s="101">
        <f t="shared" si="7"/>
        <v>65000</v>
      </c>
      <c r="L45" s="101">
        <f t="shared" si="7"/>
        <v>65000</v>
      </c>
      <c r="M45" s="101"/>
      <c r="O45" s="101">
        <f t="shared" si="9"/>
        <v>500000</v>
      </c>
      <c r="P45" s="101">
        <f t="shared" si="9"/>
        <v>500000</v>
      </c>
      <c r="Q45" s="101">
        <f t="shared" si="9"/>
        <v>500000</v>
      </c>
      <c r="R45" s="101">
        <f t="shared" si="9"/>
        <v>500000</v>
      </c>
      <c r="AV45" s="241" t="s">
        <v>1043</v>
      </c>
      <c r="AW45" s="241"/>
      <c r="AX45" s="241"/>
      <c r="AY45" s="241" t="s">
        <v>1044</v>
      </c>
    </row>
    <row r="46" spans="1:52" x14ac:dyDescent="0.3">
      <c r="G46" s="101"/>
      <c r="O46" s="172" t="s">
        <v>780</v>
      </c>
      <c r="P46" s="173"/>
      <c r="Q46" s="173"/>
      <c r="R46" s="173"/>
      <c r="AV46" s="221" t="s">
        <v>943</v>
      </c>
      <c r="AY46" s="221" t="s">
        <v>946</v>
      </c>
    </row>
    <row r="47" spans="1:52" x14ac:dyDescent="0.3">
      <c r="G47" s="101"/>
      <c r="R47" s="101"/>
      <c r="AV47" s="221">
        <f>24*365</f>
        <v>8760</v>
      </c>
      <c r="AW47" s="221" t="s">
        <v>944</v>
      </c>
      <c r="AY47" s="221">
        <v>8760</v>
      </c>
      <c r="AZ47" s="221" t="s">
        <v>944</v>
      </c>
    </row>
    <row r="48" spans="1:52" x14ac:dyDescent="0.3">
      <c r="C48" s="174" t="s">
        <v>800</v>
      </c>
      <c r="D48" s="175">
        <v>373530042</v>
      </c>
      <c r="E48" s="175">
        <v>341217972</v>
      </c>
      <c r="F48" s="175">
        <v>184141112</v>
      </c>
      <c r="G48" s="175">
        <v>151829042</v>
      </c>
      <c r="I48" s="175">
        <f>SUM(I14, I23:I27, I30:I45)</f>
        <v>92916815.200000018</v>
      </c>
      <c r="J48" s="175">
        <f t="shared" ref="J48:L48" si="10">SUM(J14, J23:J27, J30:J45)</f>
        <v>60604745.200000003</v>
      </c>
      <c r="K48" s="175">
        <f t="shared" si="10"/>
        <v>82776815.200000018</v>
      </c>
      <c r="L48" s="175">
        <f t="shared" si="10"/>
        <v>50464745.200000003</v>
      </c>
      <c r="M48" s="175"/>
      <c r="O48" s="185">
        <f>SUM(O14,O20,SUM(O23:O45))</f>
        <v>373530042</v>
      </c>
      <c r="P48" s="185">
        <f t="shared" ref="P48:R48" si="11">SUM(P14,P20,SUM(P23:P45))</f>
        <v>341217972</v>
      </c>
      <c r="Q48" s="185">
        <f t="shared" si="11"/>
        <v>184141112</v>
      </c>
      <c r="R48" s="185">
        <f t="shared" si="11"/>
        <v>151829042</v>
      </c>
      <c r="AV48" s="221">
        <f>2.04*8760</f>
        <v>17870.400000000001</v>
      </c>
      <c r="AW48" s="221" t="s">
        <v>945</v>
      </c>
      <c r="AY48" s="221">
        <f>0.17*8760</f>
        <v>1489.2</v>
      </c>
      <c r="AZ48" s="221" t="s">
        <v>945</v>
      </c>
    </row>
    <row r="49" spans="1:54" x14ac:dyDescent="0.3">
      <c r="G49" s="101"/>
      <c r="R49" s="101"/>
      <c r="AV49" s="221">
        <f>AV48/1000000*19.3*47</f>
        <v>16.210239840000003</v>
      </c>
      <c r="AW49" s="221" t="s">
        <v>947</v>
      </c>
      <c r="AY49" s="221">
        <f>AY48/1000000*19.3*47</f>
        <v>1.3508533199999999</v>
      </c>
      <c r="AZ49" s="221" t="s">
        <v>947</v>
      </c>
    </row>
    <row r="50" spans="1:54" x14ac:dyDescent="0.3">
      <c r="C50" s="221" t="s">
        <v>768</v>
      </c>
      <c r="D50" s="101">
        <v>32325000.000000004</v>
      </c>
      <c r="E50" s="101">
        <v>12930</v>
      </c>
      <c r="F50" s="101">
        <v>32325000.000000004</v>
      </c>
      <c r="G50" s="101">
        <v>12930</v>
      </c>
      <c r="I50" s="101">
        <f>I14</f>
        <v>64650000.000000007</v>
      </c>
      <c r="J50" s="101">
        <f t="shared" ref="J50:L50" si="12">J14</f>
        <v>32337930</v>
      </c>
      <c r="K50" s="101">
        <f t="shared" si="12"/>
        <v>64650000.000000007</v>
      </c>
      <c r="L50" s="101">
        <f t="shared" si="12"/>
        <v>32337930</v>
      </c>
      <c r="M50" s="101"/>
      <c r="O50" s="101">
        <f t="shared" ref="O50:R53" si="13">D50</f>
        <v>32325000.000000004</v>
      </c>
      <c r="P50" s="101">
        <f t="shared" si="13"/>
        <v>12930</v>
      </c>
      <c r="Q50" s="101">
        <f t="shared" si="13"/>
        <v>32325000.000000004</v>
      </c>
      <c r="R50" s="101">
        <f t="shared" si="13"/>
        <v>12930</v>
      </c>
    </row>
    <row r="51" spans="1:54" x14ac:dyDescent="0.3">
      <c r="C51" s="221" t="s">
        <v>769</v>
      </c>
      <c r="D51" s="101">
        <v>6088520</v>
      </c>
      <c r="E51" s="101">
        <v>6088520</v>
      </c>
      <c r="F51" s="101">
        <v>6088520</v>
      </c>
      <c r="G51" s="101">
        <v>6088520</v>
      </c>
      <c r="I51" s="101">
        <f>SUM(I23:I27)</f>
        <v>3143015.2</v>
      </c>
      <c r="J51" s="101">
        <f t="shared" ref="J51:L51" si="14">SUM(J23:J27)</f>
        <v>3143015.2</v>
      </c>
      <c r="K51" s="101">
        <f t="shared" si="14"/>
        <v>3143015.2</v>
      </c>
      <c r="L51" s="101">
        <f t="shared" si="14"/>
        <v>3143015.2</v>
      </c>
      <c r="M51" s="101"/>
      <c r="O51" s="101">
        <f t="shared" si="13"/>
        <v>6088520</v>
      </c>
      <c r="P51" s="101">
        <f t="shared" si="13"/>
        <v>6088520</v>
      </c>
      <c r="Q51" s="101">
        <f t="shared" si="13"/>
        <v>6088520</v>
      </c>
      <c r="R51" s="101">
        <f t="shared" si="13"/>
        <v>6088520</v>
      </c>
    </row>
    <row r="52" spans="1:54" x14ac:dyDescent="0.3">
      <c r="C52" s="8" t="s">
        <v>770</v>
      </c>
      <c r="D52" s="170">
        <v>96630000</v>
      </c>
      <c r="E52" s="170">
        <v>96630000</v>
      </c>
      <c r="F52" s="170">
        <v>57630000</v>
      </c>
      <c r="G52" s="170">
        <v>57630000</v>
      </c>
      <c r="I52" s="170">
        <f>SUM(I30:I45)</f>
        <v>25123800</v>
      </c>
      <c r="J52" s="170">
        <f t="shared" ref="J52:L52" si="15">SUM(J30:J45)</f>
        <v>25123800</v>
      </c>
      <c r="K52" s="170">
        <f t="shared" si="15"/>
        <v>14983800</v>
      </c>
      <c r="L52" s="170">
        <f t="shared" si="15"/>
        <v>14983800</v>
      </c>
      <c r="M52" s="208"/>
      <c r="O52" s="101">
        <f t="shared" si="13"/>
        <v>96630000</v>
      </c>
      <c r="P52" s="101">
        <f t="shared" si="13"/>
        <v>96630000</v>
      </c>
      <c r="Q52" s="101">
        <f t="shared" si="13"/>
        <v>57630000</v>
      </c>
      <c r="R52" s="101">
        <f t="shared" si="13"/>
        <v>57630000</v>
      </c>
    </row>
    <row r="53" spans="1:54" x14ac:dyDescent="0.3">
      <c r="C53" s="146" t="s">
        <v>773</v>
      </c>
      <c r="D53" s="171">
        <v>135043520</v>
      </c>
      <c r="E53" s="171">
        <v>102731450</v>
      </c>
      <c r="F53" s="171">
        <v>96043520</v>
      </c>
      <c r="G53" s="171">
        <v>63731450</v>
      </c>
      <c r="I53" s="171">
        <f>SUM(I50:I52)</f>
        <v>92916815.200000003</v>
      </c>
      <c r="J53" s="171">
        <f t="shared" ref="J53:L53" si="16">SUM(J50:J52)</f>
        <v>60604745.200000003</v>
      </c>
      <c r="K53" s="171">
        <f t="shared" si="16"/>
        <v>82776815.200000003</v>
      </c>
      <c r="L53" s="171">
        <f t="shared" si="16"/>
        <v>50464745.200000003</v>
      </c>
      <c r="M53" s="171"/>
      <c r="O53" s="101">
        <f t="shared" si="13"/>
        <v>135043520</v>
      </c>
      <c r="P53" s="101">
        <f t="shared" si="13"/>
        <v>102731450</v>
      </c>
      <c r="Q53" s="101">
        <f t="shared" si="13"/>
        <v>96043520</v>
      </c>
      <c r="R53" s="101">
        <f t="shared" si="13"/>
        <v>63731450</v>
      </c>
      <c r="BB53" s="221" t="s">
        <v>1041</v>
      </c>
    </row>
    <row r="54" spans="1:54" x14ac:dyDescent="0.3">
      <c r="D54" s="101"/>
      <c r="E54" s="101"/>
      <c r="F54" s="101"/>
      <c r="G54" s="101"/>
      <c r="O54" s="101"/>
      <c r="P54" s="101"/>
      <c r="Q54" s="101"/>
      <c r="R54" s="101"/>
      <c r="AS54" s="221" t="s">
        <v>938</v>
      </c>
      <c r="BB54" s="221">
        <f>0.71/0.05</f>
        <v>14.2</v>
      </c>
    </row>
    <row r="55" spans="1:54" x14ac:dyDescent="0.3">
      <c r="O55" s="101"/>
      <c r="AT55" s="221">
        <v>9324</v>
      </c>
      <c r="AU55" s="221" t="s">
        <v>939</v>
      </c>
      <c r="BB55" s="221">
        <f>36.65/2.454</f>
        <v>14.934800325998369</v>
      </c>
    </row>
    <row r="56" spans="1:54" x14ac:dyDescent="0.3">
      <c r="C56" s="221" t="s">
        <v>771</v>
      </c>
      <c r="D56" s="101">
        <v>123768002</v>
      </c>
      <c r="E56" s="101">
        <v>123768002</v>
      </c>
      <c r="F56" s="101">
        <v>12379072</v>
      </c>
      <c r="G56" s="101">
        <v>12379072</v>
      </c>
      <c r="O56" s="101">
        <f>D56</f>
        <v>123768002</v>
      </c>
      <c r="P56" s="101">
        <f>E56</f>
        <v>123768002</v>
      </c>
      <c r="Q56" s="101">
        <f>F56</f>
        <v>12379072</v>
      </c>
      <c r="R56" s="101">
        <f>G56</f>
        <v>12379072</v>
      </c>
      <c r="AT56" s="221">
        <v>276014</v>
      </c>
      <c r="AU56" s="221" t="s">
        <v>109</v>
      </c>
    </row>
    <row r="57" spans="1:54" x14ac:dyDescent="0.3">
      <c r="C57" s="221" t="s">
        <v>772</v>
      </c>
      <c r="D57" s="101">
        <v>18088520</v>
      </c>
      <c r="E57" s="101">
        <v>18088520</v>
      </c>
      <c r="F57" s="101">
        <v>18088520</v>
      </c>
      <c r="G57" s="101">
        <v>18088520</v>
      </c>
      <c r="O57" s="101">
        <f t="shared" ref="O57:R59" si="17">D57</f>
        <v>18088520</v>
      </c>
      <c r="P57" s="101">
        <f t="shared" si="17"/>
        <v>18088520</v>
      </c>
      <c r="Q57" s="101">
        <f t="shared" si="17"/>
        <v>18088520</v>
      </c>
      <c r="R57" s="101">
        <f t="shared" si="17"/>
        <v>18088520</v>
      </c>
      <c r="AT57" s="221">
        <f>AT56/AT55</f>
        <v>29.602531102531103</v>
      </c>
      <c r="AU57" s="221" t="s">
        <v>940</v>
      </c>
    </row>
    <row r="58" spans="1:54" x14ac:dyDescent="0.3">
      <c r="C58" s="8" t="s">
        <v>815</v>
      </c>
      <c r="D58" s="170">
        <v>96630000</v>
      </c>
      <c r="E58" s="170">
        <v>96630000</v>
      </c>
      <c r="F58" s="170">
        <v>57630000</v>
      </c>
      <c r="G58" s="170">
        <v>57630000</v>
      </c>
      <c r="O58" s="101">
        <f t="shared" si="17"/>
        <v>96630000</v>
      </c>
      <c r="P58" s="101">
        <f t="shared" si="17"/>
        <v>96630000</v>
      </c>
      <c r="Q58" s="101">
        <f t="shared" si="17"/>
        <v>57630000</v>
      </c>
      <c r="R58" s="101">
        <f t="shared" si="17"/>
        <v>57630000</v>
      </c>
      <c r="AT58" s="221">
        <v>10</v>
      </c>
      <c r="AU58" s="221" t="s">
        <v>941</v>
      </c>
    </row>
    <row r="59" spans="1:54" x14ac:dyDescent="0.3">
      <c r="C59" s="146" t="s">
        <v>774</v>
      </c>
      <c r="D59" s="171">
        <v>238486522</v>
      </c>
      <c r="E59" s="171">
        <v>238486522</v>
      </c>
      <c r="F59" s="171">
        <v>88097592</v>
      </c>
      <c r="G59" s="171">
        <v>88097592</v>
      </c>
      <c r="O59" s="101">
        <f t="shared" si="17"/>
        <v>238486522</v>
      </c>
      <c r="P59" s="101">
        <f t="shared" si="17"/>
        <v>238486522</v>
      </c>
      <c r="Q59" s="101">
        <f t="shared" si="17"/>
        <v>88097592</v>
      </c>
      <c r="R59" s="101">
        <f t="shared" si="17"/>
        <v>88097592</v>
      </c>
    </row>
    <row r="60" spans="1:54" x14ac:dyDescent="0.3">
      <c r="C60" s="87" t="s">
        <v>1002</v>
      </c>
      <c r="D60" s="170">
        <f>D53+D59</f>
        <v>373530042</v>
      </c>
      <c r="E60" s="170">
        <f t="shared" ref="E60:G60" si="18">E53+E59</f>
        <v>341217972</v>
      </c>
      <c r="F60" s="170">
        <f t="shared" si="18"/>
        <v>184141112</v>
      </c>
      <c r="G60" s="170">
        <f t="shared" si="18"/>
        <v>151829042</v>
      </c>
      <c r="J60" s="221" t="s">
        <v>951</v>
      </c>
      <c r="O60" s="101">
        <f>O53+O59</f>
        <v>373530042</v>
      </c>
      <c r="P60" s="101">
        <f t="shared" ref="P60:R60" si="19">P53+P59</f>
        <v>341217972</v>
      </c>
      <c r="Q60" s="101">
        <f t="shared" si="19"/>
        <v>184141112</v>
      </c>
      <c r="R60" s="101">
        <f t="shared" si="19"/>
        <v>151829042</v>
      </c>
      <c r="AS60" s="221" t="s">
        <v>942</v>
      </c>
    </row>
    <row r="61" spans="1:54" x14ac:dyDescent="0.3">
      <c r="C61" s="86" t="s">
        <v>998</v>
      </c>
      <c r="D61" s="233"/>
      <c r="E61" s="233"/>
      <c r="F61" s="233"/>
      <c r="G61" s="233"/>
      <c r="I61" s="221" t="s">
        <v>952</v>
      </c>
      <c r="O61" s="73" t="s">
        <v>781</v>
      </c>
    </row>
    <row r="62" spans="1:54" x14ac:dyDescent="0.3">
      <c r="A62" s="86"/>
      <c r="C62" s="221" t="s">
        <v>1001</v>
      </c>
      <c r="D62" s="101">
        <f>O111</f>
        <v>149342665.51499999</v>
      </c>
      <c r="E62" s="101">
        <f t="shared" ref="E62:G65" si="20">P111</f>
        <v>126077975.11500001</v>
      </c>
      <c r="F62" s="101">
        <f t="shared" si="20"/>
        <v>76428621.189999998</v>
      </c>
      <c r="G62" s="101">
        <f t="shared" si="20"/>
        <v>53163930.789999999</v>
      </c>
      <c r="I62" s="221" t="s">
        <v>953</v>
      </c>
      <c r="J62" s="221">
        <v>0.05</v>
      </c>
      <c r="K62" s="221">
        <f>1/24*1/30*0.05</f>
        <v>6.9444444444444444E-5</v>
      </c>
      <c r="O62" s="73" t="s">
        <v>1018</v>
      </c>
    </row>
    <row r="63" spans="1:54" x14ac:dyDescent="0.3">
      <c r="C63" s="221" t="s">
        <v>797</v>
      </c>
      <c r="D63" s="101">
        <f>O112</f>
        <v>141708659.01800001</v>
      </c>
      <c r="E63" s="101">
        <f t="shared" si="20"/>
        <v>119116059.67399999</v>
      </c>
      <c r="F63" s="101">
        <f t="shared" si="20"/>
        <v>73225954.918000013</v>
      </c>
      <c r="G63" s="101">
        <f t="shared" si="20"/>
        <v>50633355.574000001</v>
      </c>
      <c r="I63" s="221" t="s">
        <v>954</v>
      </c>
      <c r="J63" s="221">
        <v>0.18</v>
      </c>
      <c r="K63" s="221">
        <f>3.5/24*1/30*0.18</f>
        <v>8.7500000000000002E-4</v>
      </c>
      <c r="O63" s="73" t="s">
        <v>1019</v>
      </c>
    </row>
    <row r="64" spans="1:54" x14ac:dyDescent="0.3">
      <c r="C64" s="221" t="s">
        <v>798</v>
      </c>
      <c r="D64" s="101">
        <f t="shared" ref="D64:D65" si="21">O113</f>
        <v>137269190.62436002</v>
      </c>
      <c r="E64" s="101">
        <f t="shared" si="20"/>
        <v>115067438.07908002</v>
      </c>
      <c r="F64" s="101">
        <f t="shared" si="20"/>
        <v>71363481.301360011</v>
      </c>
      <c r="G64" s="101">
        <f t="shared" si="20"/>
        <v>49161728.756080002</v>
      </c>
      <c r="I64" s="221" t="s">
        <v>955</v>
      </c>
      <c r="J64" s="221">
        <v>0.26</v>
      </c>
      <c r="K64" s="221">
        <f>15/24*1/30*0.26</f>
        <v>5.4166666666666669E-3</v>
      </c>
      <c r="N64" s="224" t="s">
        <v>980</v>
      </c>
      <c r="O64" s="73" t="s">
        <v>1020</v>
      </c>
    </row>
    <row r="65" spans="1:21" x14ac:dyDescent="0.3">
      <c r="C65" s="221" t="s">
        <v>799</v>
      </c>
      <c r="D65" s="101">
        <f t="shared" si="21"/>
        <v>135822722.56255922</v>
      </c>
      <c r="E65" s="101">
        <f t="shared" si="20"/>
        <v>113748315.76259761</v>
      </c>
      <c r="F65" s="101">
        <f t="shared" si="20"/>
        <v>70756649.950499207</v>
      </c>
      <c r="G65" s="101">
        <f t="shared" si="20"/>
        <v>48682243.150537603</v>
      </c>
      <c r="I65" s="221" t="s">
        <v>956</v>
      </c>
      <c r="J65" s="221">
        <v>0.41</v>
      </c>
      <c r="K65" s="221">
        <f>4*1/30*0.41</f>
        <v>5.4666666666666662E-2</v>
      </c>
      <c r="M65" s="224" t="s">
        <v>978</v>
      </c>
      <c r="N65" s="223" t="s">
        <v>979</v>
      </c>
      <c r="O65" s="73" t="s">
        <v>1021</v>
      </c>
    </row>
    <row r="66" spans="1:21" x14ac:dyDescent="0.3">
      <c r="C66" s="86" t="s">
        <v>999</v>
      </c>
      <c r="I66" s="221" t="s">
        <v>957</v>
      </c>
      <c r="J66" s="221">
        <v>0.1</v>
      </c>
      <c r="K66" s="221">
        <f>18.5*1/30*0.09</f>
        <v>5.5500000000000001E-2</v>
      </c>
      <c r="M66" s="224">
        <v>0.32</v>
      </c>
      <c r="N66" s="224">
        <v>0.68</v>
      </c>
      <c r="O66" s="223" t="s">
        <v>976</v>
      </c>
      <c r="P66" s="223">
        <v>0.875</v>
      </c>
      <c r="Q66" s="223">
        <f>1-P66</f>
        <v>0.125</v>
      </c>
      <c r="R66" s="223">
        <f>1/Q66</f>
        <v>8</v>
      </c>
      <c r="S66" s="241" t="s">
        <v>1053</v>
      </c>
      <c r="T66" s="241" t="s">
        <v>1052</v>
      </c>
      <c r="U66" s="241" t="s">
        <v>1051</v>
      </c>
    </row>
    <row r="67" spans="1:21" x14ac:dyDescent="0.3">
      <c r="C67" s="221" t="s">
        <v>1003</v>
      </c>
      <c r="D67" s="101">
        <f>O70+(0.5*O$20*$N$66)+(O84)+(0.5*O$27*$N$66*$P66)+(0.5*SUM(O$30:O$45)*$N$66*$P66)</f>
        <v>127403415.39000002</v>
      </c>
      <c r="E67" s="101">
        <f>P70+(0.5*P$20*$N$67)+(P84)+(0.5*P$27*$N$67*$P66)+(0.5*SUM(P$30:P$45)*$N$67*$P66)</f>
        <v>104138724.99000001</v>
      </c>
      <c r="F67" s="101">
        <f>Q70+(0.5*Q$20*$N$68)+(Q84)+(0.5*Q$27*$N$68*$P66)+(0.5*SUM(Q$30:Q$45)*$N$68*$P66)</f>
        <v>66326179.190000005</v>
      </c>
      <c r="G67" s="101">
        <f>R70+(0.5*R$20*$N$69)+(R84)+(0.5*R$27*$N$69*$P66)+(0.5*SUM(R$30:R$45)*$N$69*$P66)</f>
        <v>43061488.789999999</v>
      </c>
      <c r="K67" s="221">
        <f>45*1/30*0.01</f>
        <v>1.4999999999999999E-2</v>
      </c>
      <c r="M67" s="224">
        <v>0.32</v>
      </c>
      <c r="N67" s="224">
        <v>0.68</v>
      </c>
      <c r="O67" s="223" t="s">
        <v>782</v>
      </c>
      <c r="P67" s="223">
        <v>0.94</v>
      </c>
      <c r="Q67" s="223">
        <f>1-P67</f>
        <v>6.0000000000000053E-2</v>
      </c>
      <c r="R67" s="223">
        <f>1/Q67</f>
        <v>16.666666666666654</v>
      </c>
      <c r="S67" s="221">
        <f>1-T67</f>
        <v>0.990116</v>
      </c>
      <c r="T67" s="221">
        <f>0.00133+0.000124+0.0077+0.00073</f>
        <v>9.8840000000000004E-3</v>
      </c>
      <c r="U67" s="221">
        <f>1/T67</f>
        <v>101.17361392148928</v>
      </c>
    </row>
    <row r="68" spans="1:21" x14ac:dyDescent="0.3">
      <c r="C68" s="221" t="s">
        <v>801</v>
      </c>
      <c r="D68" s="101">
        <f t="shared" ref="D68:D70" si="22">O71+(0.5*O$20*$N$66)+(O85)+(0.5*O$27*$N$66*$P67)+(0.5*SUM(O$30:O$45)*$N$66*$P67)</f>
        <v>131177818.958</v>
      </c>
      <c r="E68" s="101">
        <f t="shared" ref="E68:E70" si="23">P71+(0.5*P$20*$N$67)+(P85)+(0.5*P$27*$N$67*$P67)+(0.5*SUM(P$30:P$45)*$N$67*$P67)</f>
        <v>108585219.61399999</v>
      </c>
      <c r="F68" s="101">
        <f t="shared" ref="F68:F70" si="24">Q71+(0.5*Q$20*$N$68)+(Q85)+(0.5*Q$27*$N$68*$P67)+(0.5*SUM(Q$30:Q$45)*$N$68*$P67)</f>
        <v>68376782.758000016</v>
      </c>
      <c r="G68" s="101">
        <f t="shared" ref="G68:G70" si="25">R71+(0.5*R$20*$N$69)+(R85)+(0.5*R$27*$N$69*$P67)+(0.5*SUM(R$30:R$45)*$N$69*$P67)</f>
        <v>45784183.414000005</v>
      </c>
      <c r="M68" s="224">
        <v>0.32</v>
      </c>
      <c r="N68" s="224">
        <v>0.68</v>
      </c>
      <c r="O68" s="223" t="s">
        <v>44</v>
      </c>
      <c r="P68" s="223">
        <v>0.9778</v>
      </c>
      <c r="Q68" s="223">
        <f>1-P68</f>
        <v>2.2199999999999998E-2</v>
      </c>
      <c r="R68" s="223">
        <f>1/Q68</f>
        <v>45.04504504504505</v>
      </c>
      <c r="S68" s="221">
        <f>1-T68</f>
        <v>0.96</v>
      </c>
      <c r="T68" s="221">
        <v>0.04</v>
      </c>
      <c r="U68" s="221">
        <f>1/T68</f>
        <v>25</v>
      </c>
    </row>
    <row r="69" spans="1:21" x14ac:dyDescent="0.3">
      <c r="C69" s="221" t="s">
        <v>802</v>
      </c>
      <c r="D69" s="101">
        <f t="shared" si="22"/>
        <v>133372779.80216002</v>
      </c>
      <c r="E69" s="101">
        <f t="shared" si="23"/>
        <v>111171027.25688002</v>
      </c>
      <c r="F69" s="101">
        <f t="shared" si="24"/>
        <v>69569287.602160007</v>
      </c>
      <c r="G69" s="101">
        <f t="shared" si="25"/>
        <v>47367535.056880005</v>
      </c>
      <c r="J69" s="221" t="s">
        <v>958</v>
      </c>
      <c r="K69" s="221">
        <f>SUM(K62:K67)</f>
        <v>0.13152777777777777</v>
      </c>
      <c r="M69" s="224">
        <v>0.32</v>
      </c>
      <c r="N69" s="224">
        <v>0.68</v>
      </c>
      <c r="O69" s="223" t="s">
        <v>94</v>
      </c>
      <c r="P69" s="223">
        <f>1-Q69</f>
        <v>0.990116</v>
      </c>
      <c r="Q69" s="223">
        <f>0.009884</f>
        <v>9.8840000000000004E-3</v>
      </c>
      <c r="R69" s="223">
        <f>1/Q69</f>
        <v>101.17361392148928</v>
      </c>
    </row>
    <row r="70" spans="1:21" x14ac:dyDescent="0.3">
      <c r="A70" s="101">
        <f>D65-D75</f>
        <v>134087942.17667522</v>
      </c>
      <c r="C70" s="221" t="s">
        <v>803</v>
      </c>
      <c r="D70" s="101">
        <f t="shared" si="22"/>
        <v>134087942.17667523</v>
      </c>
      <c r="E70" s="101">
        <f t="shared" si="23"/>
        <v>112013535.3767136</v>
      </c>
      <c r="F70" s="101">
        <f t="shared" si="24"/>
        <v>69957829.656675205</v>
      </c>
      <c r="G70" s="101">
        <f t="shared" si="25"/>
        <v>47883422.8567136</v>
      </c>
      <c r="J70" s="221" t="s">
        <v>959</v>
      </c>
      <c r="N70" s="221" t="s">
        <v>977</v>
      </c>
      <c r="O70" s="101">
        <f>$O$14*$N$66*$P66+$O$14*(1-$P66)</f>
        <v>23274000.000000004</v>
      </c>
      <c r="P70" s="101">
        <f>$P$14*$N$67*P66+$P$14*(1-$P66)</f>
        <v>9309.6000000000022</v>
      </c>
      <c r="Q70" s="101">
        <f>$Q$14*$N$68*$P66+$Q$14*(1-$P66)</f>
        <v>23274000.000000004</v>
      </c>
      <c r="R70" s="101">
        <f>$R$14*$N$69*$P66+$R$14*(1-$P66)</f>
        <v>9309.6000000000022</v>
      </c>
    </row>
    <row r="71" spans="1:21" x14ac:dyDescent="0.3">
      <c r="A71" s="101">
        <f>A70-D70</f>
        <v>0</v>
      </c>
      <c r="C71" s="86" t="s">
        <v>1011</v>
      </c>
      <c r="N71" s="221" t="s">
        <v>783</v>
      </c>
      <c r="O71" s="101">
        <f t="shared" ref="O71:O73" si="26">$O$14*$N$66*$P67+$O$14*(1-$P67)</f>
        <v>22601640.000000007</v>
      </c>
      <c r="P71" s="101">
        <f t="shared" ref="P71:P73" si="27">$P$14*$N$67*P67+$P$14*(1-$P67)</f>
        <v>9040.6560000000027</v>
      </c>
      <c r="Q71" s="101">
        <f t="shared" ref="Q71:Q73" si="28">$Q$14*$N$68*$P67+$Q$14*(1-$P67)</f>
        <v>22601640.000000007</v>
      </c>
      <c r="R71" s="101">
        <f t="shared" ref="R71:R73" si="29">$R$14*$N$69*$P67+$R$14*(1-$P67)</f>
        <v>9040.6560000000027</v>
      </c>
    </row>
    <row r="72" spans="1:21" x14ac:dyDescent="0.3">
      <c r="C72" s="221" t="s">
        <v>1004</v>
      </c>
      <c r="D72" s="101">
        <f>(0.5*O$20*(1-$P66))+O80+(0.5*O$27*(1-$P66))+(0.5*SUM(O$30:O$45)*(1-$P66))</f>
        <v>21939250.125</v>
      </c>
      <c r="E72" s="101">
        <f>(0.5*P$20*(1-$P66))+P80+(0.5*P$27*(1-$P66))+(0.5*SUM(P$30:P$45)*(1-$P66))</f>
        <v>21939250.125</v>
      </c>
      <c r="F72" s="101">
        <f>(0.5*Q$20*(1-$P66))+Q80+(0.5*Q$27*(1-$P66))+(0.5*SUM(Q$30:Q$45)*(1-$P66))</f>
        <v>10102442</v>
      </c>
      <c r="G72" s="101">
        <f>(0.5*R$20*(1-$P66))+R80+(0.5*R$27*(1-$P66))+(0.5*SUM(R$30:R$45)*(1-$P66))</f>
        <v>10102442</v>
      </c>
      <c r="N72" s="221" t="s">
        <v>784</v>
      </c>
      <c r="O72" s="101">
        <f t="shared" si="26"/>
        <v>22210636.800000004</v>
      </c>
      <c r="P72" s="101">
        <f t="shared" si="27"/>
        <v>8884.2547200000008</v>
      </c>
      <c r="Q72" s="101">
        <f t="shared" si="28"/>
        <v>22210636.800000004</v>
      </c>
      <c r="R72" s="101">
        <f t="shared" si="29"/>
        <v>8884.2547200000008</v>
      </c>
    </row>
    <row r="73" spans="1:21" x14ac:dyDescent="0.3">
      <c r="C73" s="221" t="s">
        <v>807</v>
      </c>
      <c r="D73" s="101">
        <f t="shared" ref="D73:G75" si="30">(0.5*O$20*(1-$P67))+O81+(0.5*O$27*(1-$P67))+(0.5*SUM(O$30:O$45)*(1-$P67))</f>
        <v>10530840.06000001</v>
      </c>
      <c r="E73" s="101">
        <f t="shared" si="30"/>
        <v>10530840.06000001</v>
      </c>
      <c r="F73" s="101">
        <f t="shared" si="30"/>
        <v>4849172.1600000039</v>
      </c>
      <c r="G73" s="101">
        <f t="shared" si="30"/>
        <v>4849172.1600000039</v>
      </c>
      <c r="N73" s="8" t="s">
        <v>785</v>
      </c>
      <c r="O73" s="170">
        <f t="shared" si="26"/>
        <v>22083240.096000005</v>
      </c>
      <c r="P73" s="170">
        <f t="shared" si="27"/>
        <v>8833.2960384000016</v>
      </c>
      <c r="Q73" s="170">
        <f t="shared" si="28"/>
        <v>22083240.096000005</v>
      </c>
      <c r="R73" s="170">
        <f t="shared" si="29"/>
        <v>8833.2960384000016</v>
      </c>
    </row>
    <row r="74" spans="1:21" x14ac:dyDescent="0.3">
      <c r="C74" s="221" t="s">
        <v>808</v>
      </c>
      <c r="D74" s="101">
        <f t="shared" si="30"/>
        <v>3896410.8221999994</v>
      </c>
      <c r="E74" s="101">
        <f t="shared" si="30"/>
        <v>3896410.8221999994</v>
      </c>
      <c r="F74" s="101">
        <f t="shared" si="30"/>
        <v>1794193.6991999997</v>
      </c>
      <c r="G74" s="101">
        <f t="shared" si="30"/>
        <v>1794193.6991999997</v>
      </c>
      <c r="N74" s="221" t="s">
        <v>981</v>
      </c>
      <c r="O74" s="101">
        <f>0.5*$O$20*$N$66+0.5*$O$20*(1-$P66)</f>
        <v>49816620.805</v>
      </c>
      <c r="P74" s="101">
        <f>0.5*$P$20*$N$67+0.5*$P$20*(1-$P66)</f>
        <v>49816620.805</v>
      </c>
      <c r="Q74" s="101">
        <f>0.5*$Q$20*$N$68+0.5*$Q$20*(1-$P66)</f>
        <v>4982576.4800000004</v>
      </c>
      <c r="R74" s="101">
        <f>0.5*$R$20*$N$69+0.5*$R$20*(1-P66)</f>
        <v>4982576.4800000004</v>
      </c>
    </row>
    <row r="75" spans="1:21" x14ac:dyDescent="0.3">
      <c r="C75" s="221" t="s">
        <v>809</v>
      </c>
      <c r="D75" s="101">
        <f t="shared" si="30"/>
        <v>1734780.3858840007</v>
      </c>
      <c r="E75" s="101">
        <f t="shared" si="30"/>
        <v>1734780.3858840007</v>
      </c>
      <c r="F75" s="101">
        <f t="shared" si="30"/>
        <v>798820.2938240004</v>
      </c>
      <c r="G75" s="101">
        <f t="shared" si="30"/>
        <v>798820.2938240004</v>
      </c>
      <c r="N75" s="221" t="s">
        <v>982</v>
      </c>
      <c r="O75" s="101">
        <f t="shared" ref="O75:O77" si="31">0.5*$O$20*$N$66+0.5*$O$20*(1-$P67)</f>
        <v>45794160.740000002</v>
      </c>
      <c r="P75" s="101">
        <f t="shared" ref="P75:P77" si="32">0.5*$P$20*$N$67+0.5*$P$20*(1-$P67)</f>
        <v>45794160.740000002</v>
      </c>
      <c r="Q75" s="101">
        <f t="shared" ref="Q75:Q77" si="33">0.5*$Q$20*$N$68+0.5*$Q$20*(1-$P67)</f>
        <v>4580256.6400000006</v>
      </c>
      <c r="R75" s="101">
        <f t="shared" ref="R75:R77" si="34">0.5*$R$20*$N$69+0.5*$R$20*(1-P67)</f>
        <v>4580256.6400000006</v>
      </c>
    </row>
    <row r="76" spans="1:21" x14ac:dyDescent="0.3">
      <c r="N76" s="221" t="s">
        <v>983</v>
      </c>
      <c r="O76" s="101">
        <f t="shared" si="31"/>
        <v>43454945.5022</v>
      </c>
      <c r="P76" s="101">
        <f t="shared" si="32"/>
        <v>43454945.5022</v>
      </c>
      <c r="Q76" s="101">
        <f t="shared" si="33"/>
        <v>4346292.1792000001</v>
      </c>
      <c r="R76" s="101">
        <f t="shared" si="34"/>
        <v>4346292.1792000001</v>
      </c>
    </row>
    <row r="77" spans="1:21" x14ac:dyDescent="0.3">
      <c r="C77" s="86" t="s">
        <v>1000</v>
      </c>
      <c r="N77" s="221" t="s">
        <v>984</v>
      </c>
      <c r="O77" s="101">
        <f t="shared" si="31"/>
        <v>42692782.145884</v>
      </c>
      <c r="P77" s="101">
        <f t="shared" si="32"/>
        <v>42692782.145884</v>
      </c>
      <c r="Q77" s="101">
        <f t="shared" si="33"/>
        <v>4270061.8538240008</v>
      </c>
      <c r="R77" s="101">
        <f t="shared" si="34"/>
        <v>4270061.8538240008</v>
      </c>
    </row>
    <row r="78" spans="1:21" x14ac:dyDescent="0.3">
      <c r="C78" s="221" t="s">
        <v>810</v>
      </c>
      <c r="D78" s="101" t="e">
        <f>O$79+O$81+O$82+O$83+O$96+O$103</f>
        <v>#VALUE!</v>
      </c>
      <c r="E78" s="101" t="e">
        <f t="shared" ref="E78:G78" si="35">P$79+P$81+P$82+P$83+P$96+P$103</f>
        <v>#VALUE!</v>
      </c>
      <c r="F78" s="101" t="e">
        <f t="shared" si="35"/>
        <v>#VALUE!</v>
      </c>
      <c r="G78" s="101" t="e">
        <f t="shared" si="35"/>
        <v>#VALUE!</v>
      </c>
      <c r="I78" s="86" t="s">
        <v>855</v>
      </c>
      <c r="O78" s="101"/>
      <c r="P78" s="101"/>
      <c r="Q78" s="101"/>
      <c r="R78" s="101"/>
    </row>
    <row r="79" spans="1:21" x14ac:dyDescent="0.3">
      <c r="C79" s="221" t="s">
        <v>1010</v>
      </c>
      <c r="D79" s="101">
        <f>D75+D70</f>
        <v>135822722.56255922</v>
      </c>
      <c r="E79" s="101">
        <f t="shared" ref="E79:G79" si="36">E75+E70</f>
        <v>113748315.76259761</v>
      </c>
      <c r="F79" s="101">
        <f t="shared" si="36"/>
        <v>70756649.950499207</v>
      </c>
      <c r="G79" s="101">
        <f t="shared" si="36"/>
        <v>48682243.150537603</v>
      </c>
      <c r="I79" s="175">
        <f>I48</f>
        <v>92916815.200000018</v>
      </c>
      <c r="J79" s="175">
        <f t="shared" ref="J79:L79" si="37">J48</f>
        <v>60604745.200000003</v>
      </c>
      <c r="K79" s="175">
        <f t="shared" si="37"/>
        <v>82776815.200000018</v>
      </c>
      <c r="L79" s="175">
        <f t="shared" si="37"/>
        <v>50464745.200000003</v>
      </c>
      <c r="M79" s="227"/>
      <c r="N79" s="8" t="s">
        <v>989</v>
      </c>
      <c r="O79" s="228" t="s">
        <v>985</v>
      </c>
      <c r="P79" s="228" t="s">
        <v>985</v>
      </c>
      <c r="Q79" s="228" t="s">
        <v>985</v>
      </c>
      <c r="R79" s="228" t="s">
        <v>985</v>
      </c>
    </row>
    <row r="80" spans="1:21" x14ac:dyDescent="0.3">
      <c r="D80" s="101" t="e">
        <f>D63-D68-D78</f>
        <v>#VALUE!</v>
      </c>
      <c r="E80" s="101" t="e">
        <f t="shared" ref="E80:G80" si="38">E63-E68-E78</f>
        <v>#VALUE!</v>
      </c>
      <c r="F80" s="101" t="e">
        <f t="shared" si="38"/>
        <v>#VALUE!</v>
      </c>
      <c r="G80" s="101" t="e">
        <f t="shared" si="38"/>
        <v>#VALUE!</v>
      </c>
      <c r="I80" s="86" t="s">
        <v>856</v>
      </c>
      <c r="J80" s="86"/>
      <c r="M80" s="221" t="s">
        <v>1008</v>
      </c>
      <c r="N80" s="221" t="s">
        <v>986</v>
      </c>
      <c r="O80" s="101">
        <f>SUM($O$23:$O$25)*(1-$P66)</f>
        <v>1500000</v>
      </c>
      <c r="P80" s="101">
        <f>SUM($P$23:$P$25)*(1-$P66)</f>
        <v>1500000</v>
      </c>
      <c r="Q80" s="101">
        <f>SUM($Q$23:$Q$25)*(1-$P66)</f>
        <v>1500000</v>
      </c>
      <c r="R80" s="101">
        <f>SUM($R$23:$R$25)*(1-$P66)</f>
        <v>1500000</v>
      </c>
    </row>
    <row r="81" spans="4:21" x14ac:dyDescent="0.3">
      <c r="D81" s="101">
        <f>D67+D72</f>
        <v>149342665.51500002</v>
      </c>
      <c r="E81" s="101">
        <f t="shared" ref="E81:F81" si="39">E67+E72</f>
        <v>126077975.11500001</v>
      </c>
      <c r="F81" s="101">
        <f t="shared" si="39"/>
        <v>76428621.189999998</v>
      </c>
      <c r="G81" s="199" t="s">
        <v>848</v>
      </c>
      <c r="I81" s="8" t="s">
        <v>849</v>
      </c>
      <c r="J81" s="8" t="s">
        <v>850</v>
      </c>
      <c r="K81" s="8" t="s">
        <v>851</v>
      </c>
      <c r="L81" s="8" t="s">
        <v>852</v>
      </c>
      <c r="M81" s="207"/>
      <c r="N81" s="221" t="s">
        <v>1005</v>
      </c>
      <c r="O81" s="101">
        <f t="shared" ref="O81:O83" si="40">SUM($O$23:$O$25)*(1-$P67)</f>
        <v>720000.00000000058</v>
      </c>
      <c r="P81" s="101">
        <f t="shared" ref="P81:P83" si="41">SUM($P$23:$P$25)*(1-$P67)</f>
        <v>720000.00000000058</v>
      </c>
      <c r="Q81" s="101">
        <f t="shared" ref="Q81:Q83" si="42">SUM($Q$23:$Q$25)*(1-$P67)</f>
        <v>720000.00000000058</v>
      </c>
      <c r="R81" s="101">
        <f t="shared" ref="R81:R83" si="43">SUM($R$23:$R$25)*(1-$P67)</f>
        <v>720000.00000000058</v>
      </c>
    </row>
    <row r="82" spans="4:21" x14ac:dyDescent="0.3">
      <c r="G82" s="200" t="s">
        <v>782</v>
      </c>
      <c r="I82" s="221">
        <v>5.5555555555555558E-5</v>
      </c>
      <c r="J82" s="221">
        <v>3.3333333333333333E-6</v>
      </c>
      <c r="K82" s="221">
        <v>8.88888888888889E-6</v>
      </c>
      <c r="L82" s="221">
        <v>1.5555555555555556E-6</v>
      </c>
      <c r="N82" s="221" t="s">
        <v>1006</v>
      </c>
      <c r="O82" s="101">
        <f t="shared" si="40"/>
        <v>266399.99999999994</v>
      </c>
      <c r="P82" s="101">
        <f t="shared" si="41"/>
        <v>266399.99999999994</v>
      </c>
      <c r="Q82" s="101">
        <f t="shared" si="42"/>
        <v>266399.99999999994</v>
      </c>
      <c r="R82" s="101">
        <f t="shared" si="43"/>
        <v>266399.99999999994</v>
      </c>
    </row>
    <row r="83" spans="4:21" x14ac:dyDescent="0.3">
      <c r="G83" s="200" t="s">
        <v>44</v>
      </c>
      <c r="I83" s="221">
        <v>1.25E-4</v>
      </c>
      <c r="J83" s="221">
        <v>7.4999999999999993E-6</v>
      </c>
      <c r="K83" s="221">
        <v>2.0000000000000002E-5</v>
      </c>
      <c r="L83" s="221">
        <v>3.4999999999999999E-6</v>
      </c>
      <c r="N83" s="8" t="s">
        <v>1007</v>
      </c>
      <c r="O83" s="170">
        <f t="shared" si="40"/>
        <v>118608.00000000004</v>
      </c>
      <c r="P83" s="170">
        <f t="shared" si="41"/>
        <v>118608.00000000004</v>
      </c>
      <c r="Q83" s="170">
        <f t="shared" si="42"/>
        <v>118608.00000000004</v>
      </c>
      <c r="R83" s="170">
        <f t="shared" si="43"/>
        <v>118608.00000000004</v>
      </c>
    </row>
    <row r="84" spans="4:21" x14ac:dyDescent="0.3">
      <c r="G84" s="200" t="s">
        <v>94</v>
      </c>
      <c r="I84" s="221">
        <v>3.1250000000000001E-4</v>
      </c>
      <c r="J84" s="221">
        <v>1.8749999999999998E-5</v>
      </c>
      <c r="K84" s="221">
        <v>5.0000000000000002E-5</v>
      </c>
      <c r="L84" s="221">
        <v>8.7499999999999992E-6</v>
      </c>
      <c r="M84" s="221" t="s">
        <v>1009</v>
      </c>
      <c r="N84" s="221" t="s">
        <v>987</v>
      </c>
      <c r="O84" s="215">
        <f>O$26*$N$66*$P66+O$26*(1-$P66)+O$26*0.005+19.3*47*0.1</f>
        <v>1578444.7100000002</v>
      </c>
      <c r="P84" s="215">
        <f>P$26*$N$67*$P66+P$26*(1-$P66)+P$26*0.005+19.3*47*0.1</f>
        <v>1578444.7100000002</v>
      </c>
      <c r="Q84" s="215">
        <f>Q$26*$N$68*$P66+Q$26*(1-$P66)+Q$26*0.005+19.3*47*0.1</f>
        <v>1578444.7100000002</v>
      </c>
      <c r="R84" s="215">
        <f>R$26*$N$69*$P66+R$26*(1-$P66)+R$26*0.005+19.3*47*0.1</f>
        <v>1578444.7100000002</v>
      </c>
      <c r="S84" s="221" t="s">
        <v>948</v>
      </c>
      <c r="U84" s="221">
        <f>19.3*47*1</f>
        <v>907.1</v>
      </c>
    </row>
    <row r="85" spans="4:21" x14ac:dyDescent="0.3">
      <c r="G85" s="145" t="s">
        <v>911</v>
      </c>
      <c r="I85" s="221">
        <v>1.25E-3</v>
      </c>
      <c r="J85" s="221">
        <v>7.4999999999999993E-5</v>
      </c>
      <c r="K85" s="221">
        <v>2.0000000000000001E-4</v>
      </c>
      <c r="L85" s="221">
        <v>3.4999999999999997E-5</v>
      </c>
      <c r="N85" s="221" t="s">
        <v>786</v>
      </c>
      <c r="O85" s="215">
        <f t="shared" ref="O85:O87" si="44">O$26*$N$66*$P67+O$26*(1-$P67)+O$26*0.005+19.3*47*0.1</f>
        <v>1533162.2780000002</v>
      </c>
      <c r="P85" s="215">
        <f t="shared" ref="P85:P87" si="45">P$26*$N$67*$P67+P$26*(1-$P67)+P$26*0.005+19.3*47*0.1</f>
        <v>1533162.2780000002</v>
      </c>
      <c r="Q85" s="215">
        <f t="shared" ref="Q85:Q87" si="46">Q$26*$N$68*$P67+Q$26*(1-$P67)+Q$26*0.005+19.3*47*0.1</f>
        <v>1533162.2780000002</v>
      </c>
      <c r="R85" s="215">
        <f t="shared" ref="R85:R87" si="47">R$26*$N$69*$P67+R$26*(1-$P67)+R$26*0.005+19.3*47*0.1</f>
        <v>1533162.2780000002</v>
      </c>
      <c r="S85" s="221" t="s">
        <v>949</v>
      </c>
    </row>
    <row r="86" spans="4:21" x14ac:dyDescent="0.3">
      <c r="I86" s="86" t="s">
        <v>853</v>
      </c>
      <c r="N86" s="221" t="s">
        <v>988</v>
      </c>
      <c r="O86" s="215">
        <f t="shared" si="44"/>
        <v>1506828.80216</v>
      </c>
      <c r="P86" s="215">
        <f t="shared" si="45"/>
        <v>1506828.80216</v>
      </c>
      <c r="Q86" s="215">
        <f t="shared" si="46"/>
        <v>1506828.80216</v>
      </c>
      <c r="R86" s="215">
        <f t="shared" si="47"/>
        <v>1506828.80216</v>
      </c>
      <c r="S86" s="221" t="s">
        <v>950</v>
      </c>
    </row>
    <row r="87" spans="4:21" x14ac:dyDescent="0.3">
      <c r="I87" s="8" t="s">
        <v>854</v>
      </c>
      <c r="J87" s="8"/>
      <c r="K87" s="8"/>
      <c r="L87" s="8"/>
      <c r="M87" s="207"/>
      <c r="N87" s="8" t="s">
        <v>787</v>
      </c>
      <c r="O87" s="229">
        <f t="shared" si="44"/>
        <v>1498248.8262752001</v>
      </c>
      <c r="P87" s="229">
        <f t="shared" si="45"/>
        <v>1498248.8262752001</v>
      </c>
      <c r="Q87" s="229">
        <f t="shared" si="46"/>
        <v>1498248.8262752001</v>
      </c>
      <c r="R87" s="229">
        <f t="shared" si="47"/>
        <v>1498248.8262752001</v>
      </c>
    </row>
    <row r="88" spans="4:21" x14ac:dyDescent="0.3">
      <c r="I88" s="101">
        <f>$I82*I$53</f>
        <v>5162.0452888888894</v>
      </c>
      <c r="J88" s="101">
        <f t="shared" ref="J88:L88" si="48">$I82*J$53</f>
        <v>3366.9302888888892</v>
      </c>
      <c r="K88" s="101">
        <f t="shared" si="48"/>
        <v>4598.7119555555555</v>
      </c>
      <c r="L88" s="101">
        <f t="shared" si="48"/>
        <v>2803.5969555555557</v>
      </c>
      <c r="M88" s="101"/>
      <c r="N88" s="221" t="s">
        <v>788</v>
      </c>
      <c r="O88" s="101">
        <f>0.5*O$27*$N$66*$P66+ 0.5*O$27*(1-$P66)</f>
        <v>3600000.0000000005</v>
      </c>
      <c r="P88" s="101">
        <f>0.5*P$27*$N$67*$P66+ 0.5*P$27*(1-$P66)</f>
        <v>3600000.0000000005</v>
      </c>
      <c r="Q88" s="101">
        <f>0.5*Q$27*$N$68*$P66+ 0.5*Q$27*(1-$P66)</f>
        <v>3600000.0000000005</v>
      </c>
      <c r="R88" s="101">
        <f>0.5*R$27*$N$69*$P66+ 0.5*R$27*(1-$P66)</f>
        <v>3600000.0000000005</v>
      </c>
    </row>
    <row r="89" spans="4:21" x14ac:dyDescent="0.3">
      <c r="I89" s="101">
        <f t="shared" ref="I89:L91" si="49">$I83*I$53</f>
        <v>11614.601900000001</v>
      </c>
      <c r="J89" s="101">
        <f t="shared" si="49"/>
        <v>7575.5931500000006</v>
      </c>
      <c r="K89" s="101">
        <f t="shared" si="49"/>
        <v>10347.101900000001</v>
      </c>
      <c r="L89" s="101">
        <f t="shared" si="49"/>
        <v>6308.0931500000006</v>
      </c>
      <c r="M89" s="101"/>
      <c r="N89" s="221" t="s">
        <v>789</v>
      </c>
      <c r="O89" s="101">
        <f t="shared" ref="O89:O91" si="50">0.5*O$27*$N$66*$P67+ 0.5*O$27*(1-$P67)</f>
        <v>3496000.0000000009</v>
      </c>
      <c r="P89" s="101">
        <f t="shared" ref="P89:P91" si="51">0.5*P$27*$N$67*$P67+ 0.5*P$27*(1-$P67)</f>
        <v>3496000.0000000009</v>
      </c>
      <c r="Q89" s="101">
        <f t="shared" ref="Q89:Q91" si="52">0.5*Q$27*$N$68*$P67+ 0.5*Q$27*(1-$P67)</f>
        <v>3496000.0000000009</v>
      </c>
      <c r="R89" s="101">
        <f t="shared" ref="R89:R91" si="53">0.5*R$27*$N$69*$P67+ 0.5*R$27*(1-$P67)</f>
        <v>3496000.0000000009</v>
      </c>
    </row>
    <row r="90" spans="4:21" x14ac:dyDescent="0.3">
      <c r="I90" s="195">
        <f t="shared" si="49"/>
        <v>29036.50475</v>
      </c>
      <c r="J90" s="195">
        <f t="shared" si="49"/>
        <v>18938.982875000002</v>
      </c>
      <c r="K90" s="195">
        <f t="shared" si="49"/>
        <v>25867.75475</v>
      </c>
      <c r="L90" s="195">
        <f t="shared" si="49"/>
        <v>15770.232875000002</v>
      </c>
      <c r="M90" s="195"/>
      <c r="N90" s="221" t="s">
        <v>790</v>
      </c>
      <c r="O90" s="101">
        <f t="shared" si="50"/>
        <v>3435520.0000000005</v>
      </c>
      <c r="P90" s="101">
        <f t="shared" si="51"/>
        <v>3435520.0000000005</v>
      </c>
      <c r="Q90" s="101">
        <f t="shared" si="52"/>
        <v>3435520.0000000005</v>
      </c>
      <c r="R90" s="101">
        <f t="shared" si="53"/>
        <v>3435520.0000000005</v>
      </c>
    </row>
    <row r="91" spans="4:21" x14ac:dyDescent="0.3">
      <c r="I91" s="232">
        <f t="shared" si="49"/>
        <v>116146.019</v>
      </c>
      <c r="J91" s="232">
        <f t="shared" si="49"/>
        <v>75755.931500000006</v>
      </c>
      <c r="K91" s="232">
        <f t="shared" si="49"/>
        <v>103471.019</v>
      </c>
      <c r="L91" s="232">
        <f t="shared" si="49"/>
        <v>63080.931500000006</v>
      </c>
      <c r="N91" s="8" t="s">
        <v>790</v>
      </c>
      <c r="O91" s="170">
        <f t="shared" si="50"/>
        <v>3415814.4000000004</v>
      </c>
      <c r="P91" s="170">
        <f t="shared" si="51"/>
        <v>3415814.4000000004</v>
      </c>
      <c r="Q91" s="170">
        <f t="shared" si="52"/>
        <v>3415814.4000000004</v>
      </c>
      <c r="R91" s="170">
        <f t="shared" si="53"/>
        <v>3415814.4000000004</v>
      </c>
    </row>
    <row r="92" spans="4:21" x14ac:dyDescent="0.3">
      <c r="O92" s="101"/>
      <c r="P92" s="101"/>
      <c r="Q92" s="101"/>
      <c r="R92" s="101"/>
    </row>
    <row r="93" spans="4:21" x14ac:dyDescent="0.3">
      <c r="I93" s="8" t="s">
        <v>966</v>
      </c>
      <c r="J93" s="8"/>
      <c r="K93" s="8"/>
      <c r="L93" s="8"/>
      <c r="M93" s="207"/>
      <c r="O93" s="101"/>
      <c r="P93" s="101"/>
      <c r="Q93" s="101"/>
      <c r="R93" s="101"/>
    </row>
    <row r="94" spans="4:21" x14ac:dyDescent="0.3">
      <c r="I94" s="101">
        <f t="shared" ref="I94:L97" si="54">$K82*I$53</f>
        <v>825.92724622222238</v>
      </c>
      <c r="J94" s="101">
        <f t="shared" si="54"/>
        <v>538.70884622222229</v>
      </c>
      <c r="K94" s="101">
        <f t="shared" si="54"/>
        <v>735.79391288888905</v>
      </c>
      <c r="L94" s="101">
        <f t="shared" si="54"/>
        <v>448.57551288888897</v>
      </c>
      <c r="M94" s="101"/>
      <c r="O94" s="101"/>
      <c r="P94" s="101"/>
      <c r="Q94" s="101"/>
      <c r="R94" s="101"/>
    </row>
    <row r="95" spans="4:21" x14ac:dyDescent="0.3">
      <c r="I95" s="101">
        <f t="shared" si="54"/>
        <v>1858.3363040000002</v>
      </c>
      <c r="J95" s="101">
        <f t="shared" si="54"/>
        <v>1212.0949040000003</v>
      </c>
      <c r="K95" s="101">
        <f t="shared" si="54"/>
        <v>1655.5363040000002</v>
      </c>
      <c r="L95" s="101">
        <f t="shared" si="54"/>
        <v>1009.2949040000001</v>
      </c>
      <c r="M95" s="101"/>
      <c r="O95" s="101"/>
      <c r="P95" s="101"/>
      <c r="Q95" s="101"/>
      <c r="R95" s="101"/>
    </row>
    <row r="96" spans="4:21" x14ac:dyDescent="0.3">
      <c r="I96" s="101">
        <f t="shared" si="54"/>
        <v>4645.84076</v>
      </c>
      <c r="J96" s="101">
        <f t="shared" si="54"/>
        <v>3030.2372600000003</v>
      </c>
      <c r="K96" s="101">
        <f t="shared" si="54"/>
        <v>4138.84076</v>
      </c>
      <c r="L96" s="101">
        <f t="shared" si="54"/>
        <v>2523.2372600000003</v>
      </c>
      <c r="M96" s="101"/>
      <c r="O96" s="101"/>
      <c r="P96" s="101"/>
      <c r="Q96" s="101"/>
      <c r="R96" s="101"/>
    </row>
    <row r="97" spans="7:22" x14ac:dyDescent="0.3">
      <c r="I97" s="101">
        <f t="shared" si="54"/>
        <v>18583.36304</v>
      </c>
      <c r="J97" s="101">
        <f t="shared" si="54"/>
        <v>12120.949040000001</v>
      </c>
      <c r="K97" s="101">
        <f t="shared" si="54"/>
        <v>16555.36304</v>
      </c>
      <c r="L97" s="101">
        <f t="shared" si="54"/>
        <v>10092.949040000001</v>
      </c>
      <c r="N97" s="221" t="s">
        <v>992</v>
      </c>
      <c r="O97" s="101"/>
      <c r="P97" s="101"/>
      <c r="Q97" s="101"/>
      <c r="R97" s="101"/>
    </row>
    <row r="98" spans="7:22" x14ac:dyDescent="0.3">
      <c r="G98" s="221" t="s">
        <v>967</v>
      </c>
      <c r="I98" s="184">
        <f>AVERAGE(I89, I90, I95, I96)</f>
        <v>11788.820928499999</v>
      </c>
      <c r="J98" s="184">
        <f t="shared" ref="J98:L98" si="55">AVERAGE(J89, J90, J95, J96)</f>
        <v>7689.2270472500013</v>
      </c>
      <c r="K98" s="184">
        <f t="shared" si="55"/>
        <v>10502.3084285</v>
      </c>
      <c r="L98" s="184">
        <f t="shared" si="55"/>
        <v>6402.7145472500006</v>
      </c>
      <c r="M98" s="184"/>
      <c r="N98" s="230" t="s">
        <v>804</v>
      </c>
      <c r="O98" s="231">
        <f>0.5*SUM(O$30:O$45)*$N$66*$P66+0.5*SUM(O$30:O$45)*(1-$P66)</f>
        <v>69573600</v>
      </c>
      <c r="P98" s="231">
        <f>0.5*SUM(P$30:P$45)*$N$67*$P66+0.5*SUM(P$30:P$45)*(1-$P66)</f>
        <v>69573600</v>
      </c>
      <c r="Q98" s="231">
        <f>0.5*SUM(Q$30:Q$45)*$N$68*$P66+0.5*SUM(Q$30:Q$45)*(1-$P66)</f>
        <v>41493600</v>
      </c>
      <c r="R98" s="231">
        <f>0.5*SUM(R$30:R$45)*$N$69*$P66+0.5*SUM(R$30:R$45)*(1-$P66)</f>
        <v>41493600</v>
      </c>
    </row>
    <row r="99" spans="7:22" x14ac:dyDescent="0.3">
      <c r="N99" s="230" t="s">
        <v>804</v>
      </c>
      <c r="O99" s="231">
        <f t="shared" ref="O99:O101" si="56">0.5*SUM(O$30:O$45)*$N$66*$P67+0.5*SUM(O$30:O$45)*(1-$P67)</f>
        <v>67563696</v>
      </c>
      <c r="P99" s="231">
        <f t="shared" ref="P99:P101" si="57">0.5*SUM(P$30:P$45)*$N$67*$P67+0.5*SUM(P$30:P$45)*(1-$P67)</f>
        <v>67563696</v>
      </c>
      <c r="Q99" s="231">
        <f t="shared" ref="Q99:Q101" si="58">0.5*SUM(Q$30:Q$45)*$N$68*$P67+0.5*SUM(Q$30:Q$45)*(1-$P67)</f>
        <v>40294896</v>
      </c>
      <c r="R99" s="231">
        <f t="shared" ref="R99:R101" si="59">0.5*SUM(R$30:R$45)*$N$69*$P67+0.5*SUM(R$30:R$45)*(1-$P67)</f>
        <v>40294896</v>
      </c>
    </row>
    <row r="100" spans="7:22" x14ac:dyDescent="0.3">
      <c r="I100" s="86" t="s">
        <v>862</v>
      </c>
      <c r="N100" s="230" t="s">
        <v>805</v>
      </c>
      <c r="O100" s="231">
        <f t="shared" si="56"/>
        <v>66394859.520000011</v>
      </c>
      <c r="P100" s="231">
        <f t="shared" si="57"/>
        <v>66394859.520000011</v>
      </c>
      <c r="Q100" s="231">
        <f t="shared" si="58"/>
        <v>39597803.520000003</v>
      </c>
      <c r="R100" s="231">
        <f t="shared" si="59"/>
        <v>39597803.520000003</v>
      </c>
    </row>
    <row r="101" spans="7:22" x14ac:dyDescent="0.3">
      <c r="G101" s="199" t="s">
        <v>848</v>
      </c>
      <c r="I101" s="202" t="s">
        <v>849</v>
      </c>
      <c r="J101" s="203" t="s">
        <v>850</v>
      </c>
      <c r="K101" s="203" t="s">
        <v>851</v>
      </c>
      <c r="L101" s="203" t="s">
        <v>852</v>
      </c>
      <c r="M101" s="226"/>
      <c r="N101" s="230" t="s">
        <v>806</v>
      </c>
      <c r="O101" s="231">
        <f t="shared" si="56"/>
        <v>66014029.094400011</v>
      </c>
      <c r="P101" s="231">
        <f t="shared" si="57"/>
        <v>66014029.094400011</v>
      </c>
      <c r="Q101" s="231">
        <f t="shared" si="58"/>
        <v>39370676.774400003</v>
      </c>
      <c r="R101" s="231">
        <f t="shared" si="59"/>
        <v>39370676.774400003</v>
      </c>
    </row>
    <row r="102" spans="7:22" x14ac:dyDescent="0.3">
      <c r="G102" s="200" t="s">
        <v>782</v>
      </c>
      <c r="I102" s="201">
        <v>1.3888888888888889E-4</v>
      </c>
      <c r="J102" s="221">
        <v>8.333333333333332E-6</v>
      </c>
      <c r="K102" s="201">
        <v>2.2222222222222223E-5</v>
      </c>
      <c r="L102" s="201">
        <v>3.8888888888888887E-6</v>
      </c>
      <c r="M102" s="201"/>
      <c r="O102" s="101"/>
      <c r="P102" s="101"/>
      <c r="Q102" s="101"/>
      <c r="R102" s="101"/>
    </row>
    <row r="103" spans="7:22" x14ac:dyDescent="0.3">
      <c r="G103" s="200" t="s">
        <v>44</v>
      </c>
      <c r="I103" s="201">
        <v>2.6388888888888892E-4</v>
      </c>
      <c r="J103" s="221">
        <v>1.5833333333333333E-5</v>
      </c>
      <c r="K103" s="221">
        <v>4.2222222222222222E-5</v>
      </c>
      <c r="L103" s="221">
        <v>7.3888888888888883E-6</v>
      </c>
      <c r="O103" s="101"/>
      <c r="P103" s="101"/>
      <c r="Q103" s="101"/>
      <c r="R103" s="101"/>
      <c r="V103" s="221">
        <f>0.125*1000*1.015/8760</f>
        <v>1.4483447488584473E-2</v>
      </c>
    </row>
    <row r="104" spans="7:22" x14ac:dyDescent="0.3">
      <c r="G104" s="200" t="s">
        <v>94</v>
      </c>
      <c r="I104" s="201">
        <v>5.6250000000000007E-4</v>
      </c>
      <c r="J104" s="221">
        <v>3.375E-5</v>
      </c>
      <c r="K104" s="221">
        <v>9.0000000000000006E-5</v>
      </c>
      <c r="L104" s="221">
        <v>1.575E-5</v>
      </c>
      <c r="O104" s="101"/>
      <c r="P104" s="101"/>
      <c r="Q104" s="101"/>
      <c r="R104" s="101"/>
      <c r="V104" s="221">
        <f>0.918*1000*1.015/8760</f>
        <v>0.10636643835616437</v>
      </c>
    </row>
    <row r="105" spans="7:22" x14ac:dyDescent="0.3">
      <c r="G105" s="145" t="s">
        <v>911</v>
      </c>
      <c r="I105" s="221">
        <v>1.25E-3</v>
      </c>
      <c r="J105" s="221">
        <v>7.4999999999999993E-5</v>
      </c>
      <c r="K105" s="221">
        <v>2.0000000000000001E-4</v>
      </c>
      <c r="L105" s="221">
        <v>3.4999999999999997E-5</v>
      </c>
      <c r="O105" s="101"/>
      <c r="P105" s="101"/>
      <c r="Q105" s="101"/>
      <c r="R105" s="101"/>
    </row>
    <row r="106" spans="7:22" x14ac:dyDescent="0.3">
      <c r="I106" s="86" t="s">
        <v>861</v>
      </c>
      <c r="O106" s="101"/>
      <c r="P106" s="101"/>
      <c r="Q106" s="101"/>
      <c r="R106" s="101"/>
    </row>
    <row r="107" spans="7:22" x14ac:dyDescent="0.3">
      <c r="I107" s="8" t="s">
        <v>854</v>
      </c>
      <c r="J107" s="8"/>
      <c r="K107" s="8"/>
      <c r="L107" s="8"/>
      <c r="M107" s="207"/>
      <c r="O107" s="101"/>
      <c r="P107" s="101"/>
      <c r="Q107" s="101"/>
      <c r="R107" s="101"/>
    </row>
    <row r="108" spans="7:22" x14ac:dyDescent="0.3">
      <c r="I108" s="101">
        <f>$I102*I$53</f>
        <v>12905.113222222222</v>
      </c>
      <c r="J108" s="101">
        <f t="shared" ref="J108:L108" si="60">$I102*J$53</f>
        <v>8417.3257222222219</v>
      </c>
      <c r="K108" s="101">
        <f t="shared" si="60"/>
        <v>11496.77988888889</v>
      </c>
      <c r="L108" s="101">
        <f t="shared" si="60"/>
        <v>7008.9923888888889</v>
      </c>
      <c r="M108" s="101"/>
      <c r="O108" s="101"/>
      <c r="P108" s="101"/>
      <c r="Q108" s="101"/>
      <c r="R108" s="101"/>
    </row>
    <row r="109" spans="7:22" x14ac:dyDescent="0.3">
      <c r="I109" s="101">
        <f t="shared" ref="I109:L111" si="61">$I103*I$53</f>
        <v>24519.715122222227</v>
      </c>
      <c r="J109" s="101">
        <f t="shared" si="61"/>
        <v>15992.918872222224</v>
      </c>
      <c r="K109" s="101">
        <f t="shared" si="61"/>
        <v>21843.881788888892</v>
      </c>
      <c r="L109" s="101">
        <f t="shared" si="61"/>
        <v>13317.08553888889</v>
      </c>
      <c r="M109" s="101"/>
      <c r="O109" s="101"/>
      <c r="P109" s="101"/>
      <c r="Q109" s="101"/>
      <c r="R109" s="101"/>
    </row>
    <row r="110" spans="7:22" x14ac:dyDescent="0.3">
      <c r="I110" s="195">
        <f t="shared" si="61"/>
        <v>52265.70855000001</v>
      </c>
      <c r="J110" s="195">
        <f t="shared" si="61"/>
        <v>34090.169175000003</v>
      </c>
      <c r="K110" s="195">
        <f t="shared" si="61"/>
        <v>46561.95855000001</v>
      </c>
      <c r="L110" s="195">
        <f t="shared" si="61"/>
        <v>28386.419175000006</v>
      </c>
      <c r="M110" s="195"/>
      <c r="N110" s="221" t="s">
        <v>990</v>
      </c>
      <c r="O110" s="101"/>
      <c r="P110" s="101"/>
      <c r="Q110" s="101"/>
      <c r="R110" s="101"/>
    </row>
    <row r="111" spans="7:22" x14ac:dyDescent="0.3">
      <c r="I111" s="232">
        <f t="shared" si="61"/>
        <v>116146.019</v>
      </c>
      <c r="J111" s="232">
        <f t="shared" si="61"/>
        <v>75755.931500000006</v>
      </c>
      <c r="K111" s="232">
        <f t="shared" si="61"/>
        <v>103471.019</v>
      </c>
      <c r="L111" s="232">
        <f t="shared" si="61"/>
        <v>63080.931500000006</v>
      </c>
      <c r="N111" s="221" t="s">
        <v>991</v>
      </c>
      <c r="O111" s="175">
        <f>O70+O74+O80+O84+O88+O98</f>
        <v>149342665.51499999</v>
      </c>
      <c r="P111" s="175">
        <f t="shared" ref="P111:R111" si="62">P70+P74+P80+P84+P88+P98</f>
        <v>126077975.11500001</v>
      </c>
      <c r="Q111" s="175">
        <f t="shared" si="62"/>
        <v>76428621.189999998</v>
      </c>
      <c r="R111" s="175">
        <f t="shared" si="62"/>
        <v>53163930.789999999</v>
      </c>
    </row>
    <row r="112" spans="7:22" x14ac:dyDescent="0.3">
      <c r="I112" s="8" t="s">
        <v>966</v>
      </c>
      <c r="J112" s="8"/>
      <c r="K112" s="8"/>
      <c r="L112" s="8"/>
      <c r="N112" s="221" t="s">
        <v>794</v>
      </c>
      <c r="O112" s="175">
        <f t="shared" ref="O112:R114" si="63">O71+O75+O81+O85+O89+O99</f>
        <v>141708659.01800001</v>
      </c>
      <c r="P112" s="175">
        <f t="shared" si="63"/>
        <v>119116059.67399999</v>
      </c>
      <c r="Q112" s="175">
        <f t="shared" si="63"/>
        <v>73225954.918000013</v>
      </c>
      <c r="R112" s="175">
        <f t="shared" si="63"/>
        <v>50633355.574000001</v>
      </c>
    </row>
    <row r="113" spans="7:18" x14ac:dyDescent="0.3">
      <c r="I113" s="208">
        <f>$K102*I$53</f>
        <v>2064.8181155555558</v>
      </c>
      <c r="J113" s="208">
        <f t="shared" ref="J113:L113" si="64">$K102*J$53</f>
        <v>1346.7721155555557</v>
      </c>
      <c r="K113" s="208">
        <f t="shared" si="64"/>
        <v>1839.4847822222223</v>
      </c>
      <c r="L113" s="208">
        <f t="shared" si="64"/>
        <v>1121.4387822222222</v>
      </c>
      <c r="M113" s="207"/>
      <c r="N113" s="221" t="s">
        <v>795</v>
      </c>
      <c r="O113" s="175">
        <f t="shared" si="63"/>
        <v>137269190.62436002</v>
      </c>
      <c r="P113" s="175">
        <f t="shared" si="63"/>
        <v>115067438.07908002</v>
      </c>
      <c r="Q113" s="175">
        <f t="shared" si="63"/>
        <v>71363481.301360011</v>
      </c>
      <c r="R113" s="175">
        <f t="shared" si="63"/>
        <v>49161728.756080002</v>
      </c>
    </row>
    <row r="114" spans="7:18" x14ac:dyDescent="0.3">
      <c r="I114" s="208">
        <f t="shared" ref="I114:L116" si="65">$K103*I$53</f>
        <v>3923.1544195555557</v>
      </c>
      <c r="J114" s="208">
        <f t="shared" si="65"/>
        <v>2558.8670195555555</v>
      </c>
      <c r="K114" s="208">
        <f t="shared" si="65"/>
        <v>3495.0210862222225</v>
      </c>
      <c r="L114" s="208">
        <f t="shared" si="65"/>
        <v>2130.7336862222223</v>
      </c>
      <c r="M114" s="101"/>
      <c r="N114" s="221" t="s">
        <v>796</v>
      </c>
      <c r="O114" s="175">
        <f t="shared" si="63"/>
        <v>135822722.56255922</v>
      </c>
      <c r="P114" s="175">
        <f t="shared" si="63"/>
        <v>113748315.76259761</v>
      </c>
      <c r="Q114" s="175">
        <f t="shared" si="63"/>
        <v>70756649.950499207</v>
      </c>
      <c r="R114" s="175">
        <f t="shared" si="63"/>
        <v>48682243.150537603</v>
      </c>
    </row>
    <row r="115" spans="7:18" x14ac:dyDescent="0.3">
      <c r="I115" s="208">
        <f t="shared" si="65"/>
        <v>8362.5133679999999</v>
      </c>
      <c r="J115" s="208">
        <f t="shared" si="65"/>
        <v>5454.4270680000009</v>
      </c>
      <c r="K115" s="208">
        <f t="shared" si="65"/>
        <v>7449.9133680000004</v>
      </c>
      <c r="L115" s="208">
        <f t="shared" si="65"/>
        <v>4541.8270680000005</v>
      </c>
      <c r="M115" s="101"/>
      <c r="O115" s="101"/>
      <c r="P115" s="101"/>
      <c r="Q115" s="101"/>
      <c r="R115" s="101"/>
    </row>
    <row r="116" spans="7:18" x14ac:dyDescent="0.3">
      <c r="I116" s="208">
        <f t="shared" si="65"/>
        <v>18583.36304</v>
      </c>
      <c r="J116" s="208">
        <f t="shared" si="65"/>
        <v>12120.949040000001</v>
      </c>
      <c r="K116" s="208">
        <f t="shared" si="65"/>
        <v>16555.36304</v>
      </c>
      <c r="L116" s="208">
        <f t="shared" si="65"/>
        <v>10092.949040000001</v>
      </c>
      <c r="M116" s="101"/>
      <c r="N116" s="221" t="s">
        <v>843</v>
      </c>
      <c r="O116" s="101"/>
      <c r="P116" s="101"/>
      <c r="Q116" s="101"/>
      <c r="R116" s="101"/>
    </row>
    <row r="117" spans="7:18" x14ac:dyDescent="0.3">
      <c r="G117" s="221" t="s">
        <v>967</v>
      </c>
      <c r="I117" s="184">
        <f>AVERAGE(I109, I110, I115, I116)</f>
        <v>25932.825020055559</v>
      </c>
      <c r="J117" s="184">
        <f t="shared" ref="J117:L117" si="66">AVERAGE(J109, J110, J115, J116)</f>
        <v>16914.616038805558</v>
      </c>
      <c r="K117" s="184">
        <f t="shared" si="66"/>
        <v>23102.779186722222</v>
      </c>
      <c r="L117" s="184">
        <f t="shared" si="66"/>
        <v>14084.570205472224</v>
      </c>
      <c r="M117" s="184"/>
      <c r="N117" s="221" t="s">
        <v>993</v>
      </c>
      <c r="O117" s="190">
        <f>O$14-O70</f>
        <v>9051000</v>
      </c>
      <c r="P117" s="190">
        <f t="shared" ref="P117:R118" si="67">P$14-P70</f>
        <v>3620.3999999999978</v>
      </c>
      <c r="Q117" s="190">
        <f t="shared" si="67"/>
        <v>9051000</v>
      </c>
      <c r="R117" s="190">
        <f t="shared" si="67"/>
        <v>3620.3999999999978</v>
      </c>
    </row>
    <row r="118" spans="7:18" x14ac:dyDescent="0.3">
      <c r="K118" s="101"/>
      <c r="L118" s="101"/>
      <c r="M118" s="101"/>
      <c r="N118" s="221" t="s">
        <v>783</v>
      </c>
      <c r="O118" s="190">
        <f>O$14-O71</f>
        <v>9723359.9999999963</v>
      </c>
      <c r="P118" s="190">
        <f t="shared" si="67"/>
        <v>3889.3439999999973</v>
      </c>
      <c r="Q118" s="190">
        <f t="shared" si="67"/>
        <v>9723359.9999999963</v>
      </c>
      <c r="R118" s="190">
        <f t="shared" si="67"/>
        <v>3889.3439999999973</v>
      </c>
    </row>
    <row r="119" spans="7:18" x14ac:dyDescent="0.3">
      <c r="K119" s="101">
        <f>O14</f>
        <v>32325000.000000004</v>
      </c>
      <c r="L119" s="101">
        <f>O71+O118</f>
        <v>32325000.000000004</v>
      </c>
      <c r="N119" s="221" t="s">
        <v>784</v>
      </c>
      <c r="O119" s="190">
        <f t="shared" ref="O119:R120" si="68">O$14-O72</f>
        <v>10114363.199999999</v>
      </c>
      <c r="P119" s="190">
        <f t="shared" si="68"/>
        <v>4045.7452799999992</v>
      </c>
      <c r="Q119" s="190">
        <f t="shared" si="68"/>
        <v>10114363.199999999</v>
      </c>
      <c r="R119" s="190">
        <f t="shared" si="68"/>
        <v>4045.7452799999992</v>
      </c>
    </row>
    <row r="120" spans="7:18" x14ac:dyDescent="0.3">
      <c r="N120" s="8" t="s">
        <v>785</v>
      </c>
      <c r="O120" s="228">
        <f t="shared" si="68"/>
        <v>10241759.903999999</v>
      </c>
      <c r="P120" s="228">
        <f t="shared" si="68"/>
        <v>4096.7039615999984</v>
      </c>
      <c r="Q120" s="228">
        <f t="shared" si="68"/>
        <v>10241759.903999999</v>
      </c>
      <c r="R120" s="228">
        <f t="shared" si="68"/>
        <v>4096.7039615999984</v>
      </c>
    </row>
    <row r="121" spans="7:18" x14ac:dyDescent="0.3">
      <c r="N121" s="221" t="s">
        <v>981</v>
      </c>
      <c r="O121" s="190">
        <f t="shared" ref="O121:R123" si="69">O$20-O74</f>
        <v>73951381.194999993</v>
      </c>
      <c r="P121" s="190">
        <f t="shared" si="69"/>
        <v>73951381.194999993</v>
      </c>
      <c r="Q121" s="190">
        <f t="shared" si="69"/>
        <v>7396495.5199999996</v>
      </c>
      <c r="R121" s="190">
        <f t="shared" si="69"/>
        <v>7396495.5199999996</v>
      </c>
    </row>
    <row r="122" spans="7:18" x14ac:dyDescent="0.3">
      <c r="K122" s="101">
        <f>0.5*O20</f>
        <v>61884001</v>
      </c>
      <c r="L122" s="101">
        <f>O122+O75</f>
        <v>123768002</v>
      </c>
      <c r="M122" s="101"/>
      <c r="N122" s="221" t="s">
        <v>982</v>
      </c>
      <c r="O122" s="190">
        <f t="shared" si="69"/>
        <v>77973841.25999999</v>
      </c>
      <c r="P122" s="190">
        <f t="shared" si="69"/>
        <v>77973841.25999999</v>
      </c>
      <c r="Q122" s="190">
        <f t="shared" si="69"/>
        <v>7798815.3599999994</v>
      </c>
      <c r="R122" s="190">
        <f t="shared" si="69"/>
        <v>7798815.3599999994</v>
      </c>
    </row>
    <row r="123" spans="7:18" x14ac:dyDescent="0.3">
      <c r="N123" s="221" t="s">
        <v>983</v>
      </c>
      <c r="O123" s="190">
        <f t="shared" si="69"/>
        <v>80313056.497799993</v>
      </c>
      <c r="P123" s="190">
        <f t="shared" si="69"/>
        <v>80313056.497799993</v>
      </c>
      <c r="Q123" s="190">
        <f t="shared" si="69"/>
        <v>8032779.8207999999</v>
      </c>
      <c r="R123" s="190">
        <f t="shared" si="69"/>
        <v>8032779.8207999999</v>
      </c>
    </row>
    <row r="124" spans="7:18" x14ac:dyDescent="0.3">
      <c r="N124" s="221" t="s">
        <v>984</v>
      </c>
      <c r="O124" s="190">
        <f>O$20-O77</f>
        <v>81075219.854115993</v>
      </c>
      <c r="P124" s="190">
        <f>P$20-P77</f>
        <v>81075219.854115993</v>
      </c>
      <c r="Q124" s="190">
        <f>Q$20-Q77</f>
        <v>8109010.1461759992</v>
      </c>
      <c r="R124" s="190">
        <f>R$20-R77</f>
        <v>8109010.1461759992</v>
      </c>
    </row>
    <row r="125" spans="7:18" x14ac:dyDescent="0.3">
      <c r="O125" s="101"/>
      <c r="P125" s="101"/>
      <c r="Q125" s="101"/>
      <c r="R125" s="101"/>
    </row>
    <row r="126" spans="7:18" x14ac:dyDescent="0.3">
      <c r="K126" s="192">
        <f>0.5*O20</f>
        <v>61884001</v>
      </c>
      <c r="L126" s="101">
        <f>O126</f>
        <v>0</v>
      </c>
      <c r="M126" s="101"/>
      <c r="O126" s="101"/>
      <c r="P126" s="101"/>
      <c r="Q126" s="101"/>
      <c r="R126" s="101"/>
    </row>
    <row r="127" spans="7:18" x14ac:dyDescent="0.3">
      <c r="N127" s="221" t="s">
        <v>996</v>
      </c>
      <c r="O127" s="101"/>
      <c r="P127" s="101"/>
      <c r="Q127" s="101"/>
      <c r="R127" s="101"/>
    </row>
    <row r="128" spans="7:18" x14ac:dyDescent="0.3">
      <c r="K128" s="101">
        <f>O23</f>
        <v>5000000</v>
      </c>
      <c r="L128" s="101">
        <f>O128</f>
        <v>17498595.289999999</v>
      </c>
      <c r="M128" s="101"/>
      <c r="N128" s="221" t="s">
        <v>997</v>
      </c>
      <c r="O128" s="190">
        <f>SUM(O$23:O$27)-SUM(O80, O84, O88)</f>
        <v>17498595.289999999</v>
      </c>
      <c r="P128" s="190">
        <f>SUM(P$23:P$27)-SUM(P80, P84, P88)</f>
        <v>17498595.289999999</v>
      </c>
      <c r="Q128" s="190">
        <f>SUM(Q$23:Q$27)-SUM(Q80, Q84, Q88)</f>
        <v>17498595.289999999</v>
      </c>
      <c r="R128" s="190">
        <f>SUM(R$23:R$27)-SUM(R80, R84, R88)</f>
        <v>17498595.289999999</v>
      </c>
    </row>
    <row r="129" spans="11:18" x14ac:dyDescent="0.3">
      <c r="K129" s="101">
        <f t="shared" ref="K129:K131" si="70">O24</f>
        <v>5000000</v>
      </c>
      <c r="L129" s="101">
        <f t="shared" ref="L129:L130" si="71">O129</f>
        <v>18427877.721999999</v>
      </c>
      <c r="M129" s="101"/>
      <c r="N129" s="221" t="s">
        <v>997</v>
      </c>
      <c r="O129" s="190">
        <f t="shared" ref="O129:R131" si="72">SUM(O$23:O$27)-SUM(O81, O85, O89)</f>
        <v>18427877.721999999</v>
      </c>
      <c r="P129" s="190">
        <f t="shared" si="72"/>
        <v>18427877.721999999</v>
      </c>
      <c r="Q129" s="190">
        <f t="shared" si="72"/>
        <v>18427877.721999999</v>
      </c>
      <c r="R129" s="190">
        <f t="shared" si="72"/>
        <v>18427877.721999999</v>
      </c>
    </row>
    <row r="130" spans="11:18" x14ac:dyDescent="0.3">
      <c r="K130" s="101">
        <f t="shared" si="70"/>
        <v>2000000</v>
      </c>
      <c r="L130" s="101">
        <f t="shared" si="71"/>
        <v>18968291.197839998</v>
      </c>
      <c r="M130" s="101"/>
      <c r="N130" s="221" t="s">
        <v>997</v>
      </c>
      <c r="O130" s="190">
        <f t="shared" si="72"/>
        <v>18968291.197839998</v>
      </c>
      <c r="P130" s="190">
        <f t="shared" si="72"/>
        <v>18968291.197839998</v>
      </c>
      <c r="Q130" s="190">
        <f t="shared" si="72"/>
        <v>18968291.197839998</v>
      </c>
      <c r="R130" s="190">
        <f t="shared" si="72"/>
        <v>18968291.197839998</v>
      </c>
    </row>
    <row r="131" spans="11:18" x14ac:dyDescent="0.3">
      <c r="K131" s="101">
        <f t="shared" si="70"/>
        <v>2177040</v>
      </c>
      <c r="L131" s="101">
        <f>O84+O131</f>
        <v>20722813.483724803</v>
      </c>
      <c r="M131" s="101"/>
      <c r="N131" s="221" t="s">
        <v>997</v>
      </c>
      <c r="O131" s="190">
        <f t="shared" si="72"/>
        <v>19144368.773724802</v>
      </c>
      <c r="P131" s="190">
        <f t="shared" si="72"/>
        <v>19144368.773724802</v>
      </c>
      <c r="Q131" s="190">
        <f t="shared" si="72"/>
        <v>19144368.773724802</v>
      </c>
      <c r="R131" s="190">
        <f t="shared" si="72"/>
        <v>19144368.773724802</v>
      </c>
    </row>
    <row r="132" spans="11:18" x14ac:dyDescent="0.3">
      <c r="O132" s="190"/>
      <c r="P132" s="190"/>
      <c r="Q132" s="190"/>
      <c r="R132" s="190"/>
    </row>
    <row r="133" spans="11:18" x14ac:dyDescent="0.3">
      <c r="O133" s="190"/>
      <c r="P133" s="190"/>
      <c r="Q133" s="190"/>
      <c r="R133" s="190"/>
    </row>
    <row r="135" spans="11:18" x14ac:dyDescent="0.3">
      <c r="K135" s="101">
        <f>O27</f>
        <v>10000000</v>
      </c>
      <c r="L135" s="101">
        <f>O88+O135</f>
        <v>3600000.0000000005</v>
      </c>
      <c r="M135" s="101"/>
      <c r="O135" s="190"/>
      <c r="P135" s="190"/>
      <c r="Q135" s="190"/>
      <c r="R135" s="190"/>
    </row>
    <row r="136" spans="11:18" x14ac:dyDescent="0.3">
      <c r="O136" s="190"/>
      <c r="P136" s="190"/>
      <c r="Q136" s="190"/>
      <c r="R136" s="190"/>
    </row>
    <row r="137" spans="11:18" x14ac:dyDescent="0.3">
      <c r="O137" s="190"/>
      <c r="P137" s="190"/>
      <c r="Q137" s="190"/>
      <c r="R137" s="190"/>
    </row>
    <row r="138" spans="11:18" x14ac:dyDescent="0.3">
      <c r="N138" s="221" t="s">
        <v>995</v>
      </c>
      <c r="O138" s="190">
        <f t="shared" ref="O138:R140" si="73">SUM(O$30:O$45)-O98</f>
        <v>123686400</v>
      </c>
      <c r="P138" s="190">
        <f t="shared" si="73"/>
        <v>123686400</v>
      </c>
      <c r="Q138" s="190">
        <f t="shared" si="73"/>
        <v>73766400</v>
      </c>
      <c r="R138" s="190">
        <f t="shared" si="73"/>
        <v>73766400</v>
      </c>
    </row>
    <row r="139" spans="11:18" x14ac:dyDescent="0.3">
      <c r="K139" s="101">
        <f>SUM(O30:O45)</f>
        <v>193260000</v>
      </c>
      <c r="L139" s="101">
        <f>O106+O139</f>
        <v>125696304</v>
      </c>
      <c r="M139" s="101"/>
      <c r="N139" s="221" t="s">
        <v>791</v>
      </c>
      <c r="O139" s="190">
        <f t="shared" si="73"/>
        <v>125696304</v>
      </c>
      <c r="P139" s="190">
        <f t="shared" si="73"/>
        <v>125696304</v>
      </c>
      <c r="Q139" s="190">
        <f t="shared" si="73"/>
        <v>74965104</v>
      </c>
      <c r="R139" s="190">
        <f t="shared" si="73"/>
        <v>74965104</v>
      </c>
    </row>
    <row r="140" spans="11:18" x14ac:dyDescent="0.3">
      <c r="N140" s="221" t="s">
        <v>792</v>
      </c>
      <c r="O140" s="190">
        <f t="shared" si="73"/>
        <v>126865140.47999999</v>
      </c>
      <c r="P140" s="190">
        <f t="shared" si="73"/>
        <v>126865140.47999999</v>
      </c>
      <c r="Q140" s="190">
        <f t="shared" si="73"/>
        <v>75662196.479999989</v>
      </c>
      <c r="R140" s="190">
        <f t="shared" si="73"/>
        <v>75662196.479999989</v>
      </c>
    </row>
    <row r="141" spans="11:18" x14ac:dyDescent="0.3">
      <c r="N141" s="221" t="s">
        <v>793</v>
      </c>
      <c r="O141" s="190">
        <f>SUM(O$30:O$45)-O101</f>
        <v>127245970.90559998</v>
      </c>
      <c r="P141" s="190">
        <f t="shared" ref="P141:R141" si="74">SUM(P$30:P$45)-P101</f>
        <v>127245970.90559998</v>
      </c>
      <c r="Q141" s="190">
        <f t="shared" si="74"/>
        <v>75889323.225600004</v>
      </c>
      <c r="R141" s="190">
        <f t="shared" si="74"/>
        <v>75889323.225600004</v>
      </c>
    </row>
    <row r="142" spans="11:18" x14ac:dyDescent="0.3">
      <c r="N142" s="174" t="s">
        <v>844</v>
      </c>
      <c r="O142" s="186"/>
      <c r="P142" s="186"/>
      <c r="Q142" s="186"/>
      <c r="R142" s="186"/>
    </row>
    <row r="143" spans="11:18" x14ac:dyDescent="0.3">
      <c r="N143" s="186" t="s">
        <v>994</v>
      </c>
      <c r="O143" s="175">
        <f t="shared" ref="O143:R146" si="75">O117+O121+O128+O138</f>
        <v>224187376.48499998</v>
      </c>
      <c r="P143" s="175">
        <f t="shared" si="75"/>
        <v>215139996.88499999</v>
      </c>
      <c r="Q143" s="175">
        <f t="shared" si="75"/>
        <v>107712490.81</v>
      </c>
      <c r="R143" s="175">
        <f t="shared" si="75"/>
        <v>98665111.210000008</v>
      </c>
    </row>
    <row r="144" spans="11:18" x14ac:dyDescent="0.3">
      <c r="L144" s="66">
        <f>O144+O112</f>
        <v>373530042</v>
      </c>
      <c r="M144" s="66"/>
      <c r="N144" s="186" t="s">
        <v>807</v>
      </c>
      <c r="O144" s="175">
        <f t="shared" si="75"/>
        <v>231821382.98199999</v>
      </c>
      <c r="P144" s="175">
        <f t="shared" si="75"/>
        <v>222101912.32599998</v>
      </c>
      <c r="Q144" s="175">
        <f t="shared" si="75"/>
        <v>110915157.08199999</v>
      </c>
      <c r="R144" s="175">
        <f t="shared" si="75"/>
        <v>101195686.426</v>
      </c>
    </row>
    <row r="145" spans="9:18" x14ac:dyDescent="0.3">
      <c r="L145" s="66">
        <f t="shared" ref="L145:L146" si="76">O145+O113</f>
        <v>373530042</v>
      </c>
      <c r="M145" s="66"/>
      <c r="N145" s="186" t="s">
        <v>808</v>
      </c>
      <c r="O145" s="175">
        <f t="shared" si="75"/>
        <v>236260851.37563998</v>
      </c>
      <c r="P145" s="175">
        <f t="shared" si="75"/>
        <v>226150533.92091998</v>
      </c>
      <c r="Q145" s="175">
        <f t="shared" si="75"/>
        <v>112777630.69863999</v>
      </c>
      <c r="R145" s="175">
        <f t="shared" si="75"/>
        <v>102667313.24391998</v>
      </c>
    </row>
    <row r="146" spans="9:18" x14ac:dyDescent="0.3">
      <c r="L146" s="66">
        <f t="shared" si="76"/>
        <v>373530042</v>
      </c>
      <c r="M146" s="66"/>
      <c r="N146" s="186" t="s">
        <v>809</v>
      </c>
      <c r="O146" s="175">
        <f>O120+O124+O131+O141</f>
        <v>237707319.43744078</v>
      </c>
      <c r="P146" s="175">
        <f t="shared" si="75"/>
        <v>227469656.23740238</v>
      </c>
      <c r="Q146" s="175">
        <f t="shared" si="75"/>
        <v>113384462.04950081</v>
      </c>
      <c r="R146" s="175">
        <f t="shared" si="75"/>
        <v>103146798.8494624</v>
      </c>
    </row>
    <row r="147" spans="9:18" x14ac:dyDescent="0.3">
      <c r="M147" s="5" t="s">
        <v>845</v>
      </c>
      <c r="N147" s="221" t="s">
        <v>994</v>
      </c>
      <c r="O147" s="191">
        <f>(O117+O121)/O143</f>
        <v>0.37023664086882052</v>
      </c>
      <c r="P147" s="191">
        <f t="shared" ref="P147:R148" si="77">(P117+P121)/P143</f>
        <v>0.34375291747601722</v>
      </c>
      <c r="Q147" s="191">
        <f t="shared" si="77"/>
        <v>0.1526981262462182</v>
      </c>
      <c r="R147" s="191">
        <f t="shared" si="77"/>
        <v>7.5002357259290012E-2</v>
      </c>
    </row>
    <row r="148" spans="9:18" x14ac:dyDescent="0.3">
      <c r="N148" s="221" t="s">
        <v>807</v>
      </c>
      <c r="O148" s="191">
        <f>(O118+O122)/O144</f>
        <v>0.37829642862069079</v>
      </c>
      <c r="P148" s="191">
        <f t="shared" si="77"/>
        <v>0.35108986585196394</v>
      </c>
      <c r="Q148" s="191">
        <f t="shared" si="77"/>
        <v>0.15797818639922934</v>
      </c>
      <c r="R148" s="191">
        <f t="shared" si="77"/>
        <v>7.7105111685820502E-2</v>
      </c>
    </row>
    <row r="149" spans="9:18" x14ac:dyDescent="0.3">
      <c r="N149" s="221" t="s">
        <v>808</v>
      </c>
      <c r="O149" s="191">
        <f t="shared" ref="O149:R150" si="78">(O119+O123)/O145</f>
        <v>0.3827439847578728</v>
      </c>
      <c r="P149" s="191">
        <f t="shared" si="78"/>
        <v>0.35514885085862841</v>
      </c>
      <c r="Q149" s="191">
        <f t="shared" si="78"/>
        <v>0.16091083762250769</v>
      </c>
      <c r="R149" s="191">
        <f t="shared" si="78"/>
        <v>7.8280275504881258E-2</v>
      </c>
    </row>
    <row r="150" spans="9:18" x14ac:dyDescent="0.3">
      <c r="N150" s="221" t="s">
        <v>809</v>
      </c>
      <c r="O150" s="191">
        <f t="shared" si="78"/>
        <v>0.38415720632510253</v>
      </c>
      <c r="P150" s="191">
        <f t="shared" si="78"/>
        <v>0.35644014194780271</v>
      </c>
      <c r="Q150" s="191">
        <f t="shared" si="78"/>
        <v>0.16184554495804296</v>
      </c>
      <c r="R150" s="191">
        <f t="shared" si="78"/>
        <v>7.8655924765811416E-2</v>
      </c>
    </row>
    <row r="151" spans="9:18" x14ac:dyDescent="0.3">
      <c r="M151" s="5" t="s">
        <v>846</v>
      </c>
      <c r="N151" s="221" t="s">
        <v>994</v>
      </c>
      <c r="O151" s="191">
        <f t="shared" ref="O151:R154" si="79">(O128)/O143</f>
        <v>7.8053437104077097E-2</v>
      </c>
      <c r="P151" s="191">
        <f t="shared" si="79"/>
        <v>8.1335853599336178E-2</v>
      </c>
      <c r="Q151" s="191">
        <f t="shared" si="79"/>
        <v>0.1624565095320907</v>
      </c>
      <c r="R151" s="191">
        <f t="shared" si="79"/>
        <v>0.17735342387397485</v>
      </c>
    </row>
    <row r="152" spans="9:18" x14ac:dyDescent="0.3">
      <c r="N152" s="221" t="s">
        <v>807</v>
      </c>
      <c r="O152" s="191">
        <f t="shared" si="79"/>
        <v>7.9491708163223457E-2</v>
      </c>
      <c r="P152" s="191">
        <f t="shared" si="79"/>
        <v>8.2970369453423079E-2</v>
      </c>
      <c r="Q152" s="191">
        <f t="shared" si="79"/>
        <v>0.16614390861274442</v>
      </c>
      <c r="R152" s="191">
        <f t="shared" si="79"/>
        <v>0.18210141531551846</v>
      </c>
    </row>
    <row r="153" spans="9:18" x14ac:dyDescent="0.3">
      <c r="N153" s="221" t="s">
        <v>808</v>
      </c>
      <c r="O153" s="191">
        <f t="shared" si="79"/>
        <v>8.0285375623579722E-2</v>
      </c>
      <c r="P153" s="191">
        <f t="shared" si="79"/>
        <v>8.3874624874742967E-2</v>
      </c>
      <c r="Q153" s="191">
        <f t="shared" si="79"/>
        <v>0.16819196395893729</v>
      </c>
      <c r="R153" s="191">
        <f t="shared" si="79"/>
        <v>0.18475491954069725</v>
      </c>
    </row>
    <row r="154" spans="9:18" x14ac:dyDescent="0.3">
      <c r="N154" s="221" t="s">
        <v>809</v>
      </c>
      <c r="O154" s="191">
        <f>(O131)/O146</f>
        <v>8.0537565351508536E-2</v>
      </c>
      <c r="P154" s="191">
        <f t="shared" si="79"/>
        <v>8.416229703070581E-2</v>
      </c>
      <c r="Q154" s="191">
        <f t="shared" si="79"/>
        <v>0.16884472905438183</v>
      </c>
      <c r="R154" s="191">
        <f t="shared" si="79"/>
        <v>0.18560313056021302</v>
      </c>
    </row>
    <row r="155" spans="9:18" x14ac:dyDescent="0.3">
      <c r="M155" s="5" t="s">
        <v>847</v>
      </c>
      <c r="N155" s="221" t="s">
        <v>994</v>
      </c>
      <c r="O155" s="191">
        <f t="shared" ref="O155:R158" si="80">O138/O143</f>
        <v>0.55170992202710245</v>
      </c>
      <c r="P155" s="191">
        <f t="shared" si="80"/>
        <v>0.57491122892464663</v>
      </c>
      <c r="Q155" s="191">
        <f t="shared" si="80"/>
        <v>0.68484536422169107</v>
      </c>
      <c r="R155" s="191">
        <f t="shared" si="80"/>
        <v>0.74764421886673504</v>
      </c>
    </row>
    <row r="156" spans="9:18" x14ac:dyDescent="0.3">
      <c r="N156" s="221" t="s">
        <v>807</v>
      </c>
      <c r="O156" s="191">
        <f t="shared" si="80"/>
        <v>0.54221186321608572</v>
      </c>
      <c r="P156" s="191">
        <f t="shared" si="80"/>
        <v>0.56593976469461305</v>
      </c>
      <c r="Q156" s="191">
        <f t="shared" si="80"/>
        <v>0.67587790498802636</v>
      </c>
      <c r="R156" s="191">
        <f t="shared" si="80"/>
        <v>0.74079347299866105</v>
      </c>
    </row>
    <row r="157" spans="9:18" x14ac:dyDescent="0.3">
      <c r="N157" s="221" t="s">
        <v>808</v>
      </c>
      <c r="O157" s="191">
        <f t="shared" si="80"/>
        <v>0.53697063961854752</v>
      </c>
      <c r="P157" s="191">
        <f t="shared" si="80"/>
        <v>0.56097652426662858</v>
      </c>
      <c r="Q157" s="191">
        <f t="shared" si="80"/>
        <v>0.670897198418555</v>
      </c>
      <c r="R157" s="191">
        <f t="shared" si="80"/>
        <v>0.73696480495442152</v>
      </c>
    </row>
    <row r="158" spans="9:18" x14ac:dyDescent="0.3">
      <c r="I158" s="221" t="s">
        <v>960</v>
      </c>
      <c r="K158" s="221" t="s">
        <v>35</v>
      </c>
      <c r="N158" s="221" t="s">
        <v>809</v>
      </c>
      <c r="O158" s="191">
        <f t="shared" si="80"/>
        <v>0.53530522832338889</v>
      </c>
      <c r="P158" s="191">
        <f t="shared" si="80"/>
        <v>0.55939756102149141</v>
      </c>
      <c r="Q158" s="191">
        <f t="shared" si="80"/>
        <v>0.66930972598757521</v>
      </c>
      <c r="R158" s="191">
        <f t="shared" si="80"/>
        <v>0.73574094467397555</v>
      </c>
    </row>
    <row r="159" spans="9:18" x14ac:dyDescent="0.3">
      <c r="J159" s="221" t="s">
        <v>897</v>
      </c>
      <c r="K159" s="221" t="s">
        <v>36</v>
      </c>
      <c r="L159" s="221" t="s">
        <v>961</v>
      </c>
    </row>
    <row r="160" spans="9:18" x14ac:dyDescent="0.3">
      <c r="I160" s="221" t="s">
        <v>28</v>
      </c>
      <c r="J160" s="221">
        <v>0.67500000000000004</v>
      </c>
      <c r="K160" s="221">
        <v>1E-3</v>
      </c>
      <c r="L160" s="221">
        <f>J160*K160</f>
        <v>6.7500000000000004E-4</v>
      </c>
      <c r="O160" s="1">
        <f>O147+O151+O155</f>
        <v>1</v>
      </c>
      <c r="P160" s="1">
        <f t="shared" ref="P160:R160" si="81">P147+P151+P155</f>
        <v>1</v>
      </c>
      <c r="Q160" s="1">
        <f t="shared" si="81"/>
        <v>1</v>
      </c>
      <c r="R160" s="1">
        <f t="shared" si="81"/>
        <v>0.99999999999999989</v>
      </c>
    </row>
    <row r="161" spans="9:18" x14ac:dyDescent="0.3">
      <c r="I161" s="221" t="s">
        <v>9</v>
      </c>
      <c r="J161" s="221">
        <v>0.13100000000000001</v>
      </c>
      <c r="K161" s="221">
        <v>2.9000000000000001E-2</v>
      </c>
      <c r="L161" s="221">
        <f t="shared" ref="L161:L166" si="82">J161*K161</f>
        <v>3.7990000000000003E-3</v>
      </c>
      <c r="O161" s="1">
        <f t="shared" ref="O161:R163" si="83">O148+O152+O156</f>
        <v>1</v>
      </c>
      <c r="P161" s="1">
        <f t="shared" si="83"/>
        <v>1</v>
      </c>
      <c r="Q161" s="1">
        <f t="shared" si="83"/>
        <v>1</v>
      </c>
      <c r="R161" s="1">
        <f t="shared" si="83"/>
        <v>1</v>
      </c>
    </row>
    <row r="162" spans="9:18" x14ac:dyDescent="0.3">
      <c r="I162" s="221" t="s">
        <v>8</v>
      </c>
      <c r="J162" s="221">
        <v>0.06</v>
      </c>
      <c r="K162" s="221">
        <v>0.45100000000000001</v>
      </c>
      <c r="L162" s="221">
        <f t="shared" si="82"/>
        <v>2.7060000000000001E-2</v>
      </c>
      <c r="O162" s="1">
        <f t="shared" si="83"/>
        <v>1</v>
      </c>
      <c r="P162" s="1">
        <f t="shared" si="83"/>
        <v>1</v>
      </c>
      <c r="Q162" s="1">
        <f t="shared" si="83"/>
        <v>1</v>
      </c>
      <c r="R162" s="1">
        <f t="shared" si="83"/>
        <v>1</v>
      </c>
    </row>
    <row r="163" spans="9:18" x14ac:dyDescent="0.3">
      <c r="I163" s="221" t="s">
        <v>7</v>
      </c>
      <c r="J163" s="221">
        <v>4.2999999999999997E-2</v>
      </c>
      <c r="K163" s="221">
        <v>1.008</v>
      </c>
      <c r="L163" s="221">
        <f t="shared" si="82"/>
        <v>4.3343999999999994E-2</v>
      </c>
      <c r="O163" s="1">
        <f t="shared" si="83"/>
        <v>1</v>
      </c>
      <c r="P163" s="1">
        <f t="shared" si="83"/>
        <v>1</v>
      </c>
      <c r="Q163" s="1">
        <f t="shared" si="83"/>
        <v>1</v>
      </c>
      <c r="R163" s="1">
        <f t="shared" si="83"/>
        <v>1</v>
      </c>
    </row>
    <row r="164" spans="9:18" x14ac:dyDescent="0.3">
      <c r="I164" s="221" t="s">
        <v>6</v>
      </c>
      <c r="J164" s="221">
        <v>2.4E-2</v>
      </c>
      <c r="K164" s="221">
        <v>2.5529999999999999</v>
      </c>
      <c r="L164" s="221">
        <f t="shared" si="82"/>
        <v>6.1272E-2</v>
      </c>
    </row>
    <row r="165" spans="9:18" x14ac:dyDescent="0.3">
      <c r="I165" s="221" t="s">
        <v>5</v>
      </c>
      <c r="J165" s="221">
        <v>2.4E-2</v>
      </c>
      <c r="K165" s="221">
        <v>5.6909999999999998</v>
      </c>
      <c r="L165" s="221">
        <f t="shared" si="82"/>
        <v>0.13658400000000001</v>
      </c>
    </row>
    <row r="166" spans="9:18" x14ac:dyDescent="0.3">
      <c r="I166" s="221" t="s">
        <v>4</v>
      </c>
      <c r="J166" s="221">
        <v>4.2999999999999997E-2</v>
      </c>
      <c r="K166" s="221">
        <v>9.5969999999999995</v>
      </c>
      <c r="L166" s="221">
        <f t="shared" si="82"/>
        <v>0.41267099999999995</v>
      </c>
    </row>
    <row r="168" spans="9:18" x14ac:dyDescent="0.3">
      <c r="I168" s="221" t="s">
        <v>97</v>
      </c>
      <c r="J168" s="221">
        <f>SUM(J160:J166)</f>
        <v>1.0000000000000002</v>
      </c>
      <c r="L168" s="221">
        <f t="shared" ref="L168" si="84">SUM(L160:L166)</f>
        <v>0.68540500000000004</v>
      </c>
    </row>
    <row r="170" spans="9:18" ht="43.2" x14ac:dyDescent="0.3">
      <c r="L170" s="221" t="s">
        <v>962</v>
      </c>
      <c r="N170" s="2" t="s">
        <v>973</v>
      </c>
      <c r="O170" s="219" t="s">
        <v>974</v>
      </c>
    </row>
    <row r="171" spans="9:18" x14ac:dyDescent="0.3">
      <c r="J171" s="221" t="s">
        <v>963</v>
      </c>
      <c r="L171" s="101">
        <f>0.01*1000000*$L$168</f>
        <v>6854.05</v>
      </c>
      <c r="M171" s="101"/>
      <c r="N171" s="221">
        <f>1/25</f>
        <v>0.04</v>
      </c>
      <c r="O171" s="216">
        <f>L171*N171</f>
        <v>274.16200000000003</v>
      </c>
    </row>
    <row r="172" spans="9:18" x14ac:dyDescent="0.3">
      <c r="J172" s="221" t="s">
        <v>44</v>
      </c>
      <c r="K172" s="221">
        <v>2.5000000000000001E-2</v>
      </c>
      <c r="L172" s="101">
        <f>0.025*1000000*$L$168</f>
        <v>17135.125</v>
      </c>
      <c r="M172" s="101"/>
      <c r="N172" s="221">
        <f>1/8</f>
        <v>0.125</v>
      </c>
      <c r="O172" s="216">
        <f t="shared" ref="O172:O173" si="85">L172*N172</f>
        <v>2141.890625</v>
      </c>
    </row>
    <row r="173" spans="9:18" x14ac:dyDescent="0.3">
      <c r="J173" s="221" t="s">
        <v>45</v>
      </c>
      <c r="K173" s="221">
        <v>0.03</v>
      </c>
      <c r="L173" s="101">
        <f>0.03*1000000*$L$168</f>
        <v>20562.150000000001</v>
      </c>
      <c r="M173" s="101"/>
      <c r="N173" s="221">
        <f>1/5</f>
        <v>0.2</v>
      </c>
      <c r="O173" s="216">
        <f t="shared" si="85"/>
        <v>4112.43</v>
      </c>
    </row>
    <row r="175" spans="9:18" x14ac:dyDescent="0.3">
      <c r="O175" s="221" t="s">
        <v>965</v>
      </c>
    </row>
    <row r="176" spans="9:18" x14ac:dyDescent="0.3">
      <c r="I176" s="221" t="s">
        <v>964</v>
      </c>
      <c r="K176" s="101">
        <f>0.0367*19.3*47</f>
        <v>33.290570000000002</v>
      </c>
      <c r="N176" s="221">
        <f>1/25</f>
        <v>0.04</v>
      </c>
      <c r="O176" s="216">
        <f>$K$176*N176</f>
        <v>1.3316228000000001</v>
      </c>
    </row>
    <row r="177" spans="14:15" x14ac:dyDescent="0.3">
      <c r="N177" s="221">
        <f>1/8</f>
        <v>0.125</v>
      </c>
      <c r="O177" s="216">
        <f t="shared" ref="O177:O178" si="86">$K$176*N177</f>
        <v>4.1613212500000003</v>
      </c>
    </row>
    <row r="178" spans="14:15" x14ac:dyDescent="0.3">
      <c r="N178" s="221">
        <f>1/5</f>
        <v>0.2</v>
      </c>
      <c r="O178" s="216">
        <f t="shared" si="86"/>
        <v>6.6581140000000012</v>
      </c>
    </row>
  </sheetData>
  <mergeCells count="1">
    <mergeCell ref="O5:R5"/>
  </mergeCells>
  <pageMargins left="0.7" right="0.7" top="0.75" bottom="0.75" header="0.3" footer="0.3"/>
  <drawing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4A50C-6F04-438D-A6CD-CCF98DC00E4F}">
  <dimension ref="A3:AL300"/>
  <sheetViews>
    <sheetView topLeftCell="A29" zoomScale="75" zoomScaleNormal="75" workbookViewId="0">
      <selection activeCell="C49" sqref="C49:F49"/>
    </sheetView>
  </sheetViews>
  <sheetFormatPr defaultRowHeight="14.4" x14ac:dyDescent="0.3"/>
  <cols>
    <col min="1" max="1" width="12.5546875" style="221" customWidth="1"/>
    <col min="2" max="2" width="17.77734375" style="221" customWidth="1"/>
    <col min="3" max="3" width="21.33203125" style="221" customWidth="1"/>
    <col min="4" max="4" width="19.88671875" style="221" customWidth="1"/>
    <col min="5" max="5" width="17.6640625" style="221" customWidth="1"/>
    <col min="6" max="6" width="14.88671875" style="221" customWidth="1"/>
    <col min="7" max="7" width="14" style="221" customWidth="1"/>
    <col min="8" max="8" width="14.88671875" style="221" customWidth="1"/>
    <col min="9" max="9" width="13.5546875" style="221" customWidth="1"/>
    <col min="10" max="10" width="15" style="221" customWidth="1"/>
    <col min="11" max="11" width="13.21875" style="221" customWidth="1"/>
    <col min="12" max="12" width="12" style="221" customWidth="1"/>
    <col min="13" max="13" width="15.44140625" style="221" customWidth="1"/>
    <col min="14" max="14" width="8.88671875" style="221"/>
    <col min="15" max="15" width="15.109375" style="221" customWidth="1"/>
    <col min="16" max="18" width="12.77734375" style="221" customWidth="1"/>
    <col min="19" max="19" width="6.88671875" style="221" customWidth="1"/>
    <col min="20" max="20" width="15" style="221" customWidth="1"/>
    <col min="21" max="23" width="12.77734375" style="221" customWidth="1"/>
    <col min="24" max="24" width="6.88671875" style="221" customWidth="1"/>
    <col min="25" max="25" width="15.44140625" style="221" customWidth="1"/>
    <col min="26" max="28" width="12.77734375" style="221" customWidth="1"/>
    <col min="29" max="29" width="6.88671875" style="221" customWidth="1"/>
    <col min="30" max="30" width="15.109375" style="221" customWidth="1"/>
    <col min="31" max="32" width="12.77734375" style="221" customWidth="1"/>
    <col min="33" max="33" width="14" style="221" customWidth="1"/>
    <col min="34" max="34" width="8.88671875" style="221"/>
    <col min="35" max="35" width="14" style="221" customWidth="1"/>
    <col min="36" max="36" width="13.5546875" style="221" customWidth="1"/>
    <col min="37" max="37" width="12.5546875" style="221" customWidth="1"/>
    <col min="38" max="38" width="13.109375" style="221" customWidth="1"/>
    <col min="39" max="16384" width="8.88671875" style="221"/>
  </cols>
  <sheetData>
    <row r="3" spans="2:6" ht="144" x14ac:dyDescent="0.3">
      <c r="B3" s="222"/>
      <c r="C3" s="107" t="s">
        <v>1062</v>
      </c>
      <c r="D3" s="107" t="s">
        <v>1063</v>
      </c>
      <c r="E3" s="107" t="s">
        <v>1064</v>
      </c>
      <c r="F3" s="107" t="s">
        <v>1065</v>
      </c>
    </row>
    <row r="4" spans="2:6" x14ac:dyDescent="0.3">
      <c r="B4" s="221" t="s">
        <v>743</v>
      </c>
      <c r="C4" s="2">
        <v>100</v>
      </c>
      <c r="D4" s="2">
        <v>100</v>
      </c>
      <c r="E4" s="2">
        <v>100</v>
      </c>
      <c r="F4" s="2">
        <v>100</v>
      </c>
    </row>
    <row r="5" spans="2:6" x14ac:dyDescent="0.3">
      <c r="B5" s="221" t="s">
        <v>745</v>
      </c>
      <c r="C5" s="2" t="s">
        <v>908</v>
      </c>
      <c r="D5" s="2" t="s">
        <v>908</v>
      </c>
      <c r="E5" s="2" t="s">
        <v>908</v>
      </c>
      <c r="F5" s="2" t="s">
        <v>908</v>
      </c>
    </row>
    <row r="6" spans="2:6" x14ac:dyDescent="0.3">
      <c r="B6" s="221" t="s">
        <v>756</v>
      </c>
      <c r="C6" s="2" t="s">
        <v>910</v>
      </c>
      <c r="D6" s="2" t="s">
        <v>910</v>
      </c>
      <c r="E6" s="2" t="s">
        <v>910</v>
      </c>
      <c r="F6" s="2" t="s">
        <v>910</v>
      </c>
    </row>
    <row r="7" spans="2:6" x14ac:dyDescent="0.3">
      <c r="B7" s="221" t="s">
        <v>755</v>
      </c>
      <c r="C7" s="221">
        <v>660</v>
      </c>
      <c r="D7" s="221">
        <v>660</v>
      </c>
      <c r="E7" s="221">
        <v>660</v>
      </c>
      <c r="F7" s="221">
        <v>660</v>
      </c>
    </row>
    <row r="8" spans="2:6" x14ac:dyDescent="0.3">
      <c r="B8" s="221" t="s">
        <v>760</v>
      </c>
      <c r="C8" s="221">
        <v>99</v>
      </c>
      <c r="D8" s="221">
        <v>1</v>
      </c>
      <c r="E8" s="221">
        <v>99</v>
      </c>
      <c r="F8" s="221">
        <v>1</v>
      </c>
    </row>
    <row r="9" spans="2:6" x14ac:dyDescent="0.3">
      <c r="B9" s="221" t="s">
        <v>761</v>
      </c>
      <c r="C9" s="221">
        <v>5</v>
      </c>
      <c r="D9" s="221">
        <v>2E-3</v>
      </c>
      <c r="E9" s="221">
        <v>5</v>
      </c>
      <c r="F9" s="221">
        <v>2E-3</v>
      </c>
    </row>
    <row r="11" spans="2:6" x14ac:dyDescent="0.3">
      <c r="B11" s="221" t="s">
        <v>744</v>
      </c>
      <c r="C11" s="2" t="s">
        <v>909</v>
      </c>
      <c r="D11" s="2" t="s">
        <v>909</v>
      </c>
      <c r="E11" s="2" t="s">
        <v>909</v>
      </c>
      <c r="F11" s="2" t="s">
        <v>909</v>
      </c>
    </row>
    <row r="12" spans="2:6" x14ac:dyDescent="0.3">
      <c r="B12" s="221" t="s">
        <v>82</v>
      </c>
      <c r="C12" s="221">
        <v>5</v>
      </c>
      <c r="D12" s="221">
        <v>5</v>
      </c>
      <c r="E12" s="221">
        <v>5</v>
      </c>
      <c r="F12" s="221">
        <v>5</v>
      </c>
    </row>
    <row r="13" spans="2:6" x14ac:dyDescent="0.3">
      <c r="B13" s="221" t="s">
        <v>742</v>
      </c>
      <c r="C13" s="221">
        <v>120</v>
      </c>
      <c r="D13" s="221">
        <v>120</v>
      </c>
      <c r="E13" s="221">
        <v>99</v>
      </c>
      <c r="F13" s="221">
        <v>99</v>
      </c>
    </row>
    <row r="14" spans="2:6" x14ac:dyDescent="0.3">
      <c r="B14" s="221" t="s">
        <v>92</v>
      </c>
      <c r="C14" s="221">
        <v>544.9</v>
      </c>
      <c r="D14" s="221">
        <v>544.9</v>
      </c>
      <c r="E14" s="221">
        <v>54.9</v>
      </c>
      <c r="F14" s="221">
        <v>54.9</v>
      </c>
    </row>
    <row r="16" spans="2:6" ht="144" x14ac:dyDescent="0.3">
      <c r="C16" s="107" t="s">
        <v>1062</v>
      </c>
      <c r="D16" s="107" t="s">
        <v>1063</v>
      </c>
      <c r="E16" s="107" t="s">
        <v>1064</v>
      </c>
      <c r="F16" s="107" t="s">
        <v>1065</v>
      </c>
    </row>
    <row r="17" spans="2:15" x14ac:dyDescent="0.3">
      <c r="B17" s="174" t="s">
        <v>800</v>
      </c>
      <c r="C17" s="175">
        <v>373530042</v>
      </c>
      <c r="D17" s="175">
        <v>341217972</v>
      </c>
      <c r="E17" s="175">
        <v>184141112</v>
      </c>
      <c r="F17" s="175">
        <v>151829042</v>
      </c>
    </row>
    <row r="18" spans="2:15" x14ac:dyDescent="0.3">
      <c r="F18" s="101"/>
    </row>
    <row r="19" spans="2:15" x14ac:dyDescent="0.3">
      <c r="B19" s="221" t="s">
        <v>768</v>
      </c>
      <c r="C19" s="101">
        <v>32325000.000000004</v>
      </c>
      <c r="D19" s="101">
        <v>12930</v>
      </c>
      <c r="E19" s="101">
        <v>32325000.000000004</v>
      </c>
      <c r="F19" s="101">
        <v>12930</v>
      </c>
    </row>
    <row r="20" spans="2:15" x14ac:dyDescent="0.3">
      <c r="B20" s="221" t="s">
        <v>769</v>
      </c>
      <c r="C20" s="101">
        <v>6088520</v>
      </c>
      <c r="D20" s="101">
        <v>6088520</v>
      </c>
      <c r="E20" s="101">
        <v>6088520</v>
      </c>
      <c r="F20" s="101">
        <v>6088520</v>
      </c>
    </row>
    <row r="21" spans="2:15" x14ac:dyDescent="0.3">
      <c r="B21" s="8" t="s">
        <v>770</v>
      </c>
      <c r="C21" s="170">
        <v>96630000</v>
      </c>
      <c r="D21" s="170">
        <v>96630000</v>
      </c>
      <c r="E21" s="170">
        <v>57630000</v>
      </c>
      <c r="F21" s="170">
        <v>57630000</v>
      </c>
    </row>
    <row r="22" spans="2:15" x14ac:dyDescent="0.3">
      <c r="B22" s="146" t="s">
        <v>773</v>
      </c>
      <c r="C22" s="171">
        <v>135043520</v>
      </c>
      <c r="D22" s="171">
        <v>102731450</v>
      </c>
      <c r="E22" s="171">
        <v>96043520</v>
      </c>
      <c r="F22" s="171">
        <v>63731450</v>
      </c>
    </row>
    <row r="23" spans="2:15" x14ac:dyDescent="0.3">
      <c r="C23" s="101"/>
      <c r="D23" s="101"/>
      <c r="E23" s="101"/>
      <c r="F23" s="101"/>
    </row>
    <row r="25" spans="2:15" x14ac:dyDescent="0.3">
      <c r="B25" s="221" t="s">
        <v>771</v>
      </c>
      <c r="C25" s="101">
        <v>123768002</v>
      </c>
      <c r="D25" s="101">
        <v>123768002</v>
      </c>
      <c r="E25" s="101">
        <v>12379072</v>
      </c>
      <c r="F25" s="101">
        <v>12379072</v>
      </c>
    </row>
    <row r="26" spans="2:15" x14ac:dyDescent="0.3">
      <c r="B26" s="221" t="s">
        <v>772</v>
      </c>
      <c r="C26" s="101">
        <v>18088520</v>
      </c>
      <c r="D26" s="101">
        <v>18088520</v>
      </c>
      <c r="E26" s="101">
        <v>18088520</v>
      </c>
      <c r="F26" s="101">
        <v>18088520</v>
      </c>
      <c r="G26" s="156"/>
      <c r="H26" s="156"/>
      <c r="I26" s="156"/>
      <c r="J26" s="156"/>
      <c r="K26" s="156" t="s">
        <v>1045</v>
      </c>
    </row>
    <row r="27" spans="2:15" x14ac:dyDescent="0.3">
      <c r="B27" s="8" t="s">
        <v>815</v>
      </c>
      <c r="C27" s="170">
        <v>96630000</v>
      </c>
      <c r="D27" s="170">
        <v>96630000</v>
      </c>
      <c r="E27" s="170">
        <v>57630000</v>
      </c>
      <c r="F27" s="170">
        <v>57630000</v>
      </c>
      <c r="G27" s="156">
        <f>(C25+C19)/C17</f>
        <v>0.417886071932067</v>
      </c>
      <c r="H27" s="156">
        <f>(D25+D19)/D17</f>
        <v>0.36276205287334629</v>
      </c>
      <c r="I27" s="156">
        <f t="shared" ref="I27:J27" si="0">(E25+E19)/E17</f>
        <v>0.24277072900482974</v>
      </c>
      <c r="J27" s="156">
        <f t="shared" si="0"/>
        <v>8.1618126787627365E-2</v>
      </c>
      <c r="K27" s="156" t="s">
        <v>816</v>
      </c>
    </row>
    <row r="28" spans="2:15" x14ac:dyDescent="0.3">
      <c r="B28" s="146" t="s">
        <v>774</v>
      </c>
      <c r="C28" s="171">
        <v>238486522</v>
      </c>
      <c r="D28" s="171">
        <v>238486522</v>
      </c>
      <c r="E28" s="171">
        <v>88097592</v>
      </c>
      <c r="F28" s="171">
        <v>88097592</v>
      </c>
      <c r="G28" s="156">
        <f>(C20+C26)/C17</f>
        <v>6.4725824650002317E-2</v>
      </c>
      <c r="H28" s="156">
        <f t="shared" ref="H28:J28" si="1">(D20+D26)/D17</f>
        <v>7.0855118967766445E-2</v>
      </c>
      <c r="I28" s="156">
        <f t="shared" si="1"/>
        <v>0.13129626370454414</v>
      </c>
      <c r="J28" s="156">
        <f t="shared" si="1"/>
        <v>0.15923857307879213</v>
      </c>
      <c r="K28" s="156" t="s">
        <v>817</v>
      </c>
      <c r="L28" s="341" t="s">
        <v>1046</v>
      </c>
      <c r="M28" s="341"/>
      <c r="N28" s="341"/>
      <c r="O28" s="341"/>
    </row>
    <row r="29" spans="2:15" x14ac:dyDescent="0.3">
      <c r="B29" s="173"/>
      <c r="C29" s="173"/>
      <c r="D29" s="173"/>
      <c r="E29" s="173"/>
      <c r="F29" s="173"/>
      <c r="G29" s="156">
        <f>(C21+C27)/C17</f>
        <v>0.51738810341793073</v>
      </c>
      <c r="H29" s="156">
        <f t="shared" ref="H29:J29" si="2">(D21+D27)/D17</f>
        <v>0.5663828281588873</v>
      </c>
      <c r="I29" s="156">
        <f t="shared" si="2"/>
        <v>0.62593300729062606</v>
      </c>
      <c r="J29" s="156">
        <f t="shared" si="2"/>
        <v>0.75914330013358056</v>
      </c>
      <c r="K29" s="156" t="s">
        <v>818</v>
      </c>
      <c r="L29" s="341">
        <f>C28/C17</f>
        <v>0.6384667769239295</v>
      </c>
      <c r="M29" s="341">
        <f t="shared" ref="M29:O29" si="3">D28/D17</f>
        <v>0.69892720070442249</v>
      </c>
      <c r="N29" s="341">
        <f t="shared" si="3"/>
        <v>0.47842435099446995</v>
      </c>
      <c r="O29" s="341">
        <f t="shared" si="3"/>
        <v>0.58024203300973209</v>
      </c>
    </row>
    <row r="30" spans="2:15" x14ac:dyDescent="0.3">
      <c r="B30" s="86" t="s">
        <v>998</v>
      </c>
      <c r="G30" s="342" t="s">
        <v>1047</v>
      </c>
      <c r="H30" s="342"/>
      <c r="I30" s="342"/>
      <c r="J30" s="342"/>
    </row>
    <row r="31" spans="2:15" x14ac:dyDescent="0.3">
      <c r="B31" s="221" t="s">
        <v>1001</v>
      </c>
      <c r="C31" s="101">
        <v>149342665.51499999</v>
      </c>
      <c r="D31" s="101">
        <v>126077975.11500001</v>
      </c>
      <c r="E31" s="101">
        <v>76428621.189999998</v>
      </c>
      <c r="F31" s="101">
        <v>53163930.789999999</v>
      </c>
      <c r="G31" s="342">
        <f>C31/C17</f>
        <v>0.39981433545578104</v>
      </c>
      <c r="H31" s="342">
        <f t="shared" ref="H31:J31" si="4">D31/D17</f>
        <v>0.36949394657031726</v>
      </c>
      <c r="I31" s="342">
        <f t="shared" si="4"/>
        <v>0.41505463044015939</v>
      </c>
      <c r="J31" s="342">
        <f t="shared" si="4"/>
        <v>0.35015653191041013</v>
      </c>
    </row>
    <row r="32" spans="2:15" x14ac:dyDescent="0.3">
      <c r="B32" s="221" t="s">
        <v>797</v>
      </c>
      <c r="C32" s="101">
        <v>141708659.01800001</v>
      </c>
      <c r="D32" s="101">
        <v>119116059.67399999</v>
      </c>
      <c r="E32" s="101">
        <v>73225954.918000013</v>
      </c>
      <c r="F32" s="101">
        <v>50633355.574000001</v>
      </c>
      <c r="G32" s="342">
        <f>C32/C17</f>
        <v>0.37937687223026628</v>
      </c>
      <c r="H32" s="342">
        <f t="shared" ref="H32:J32" si="5">D32/D17</f>
        <v>0.34909081422592825</v>
      </c>
      <c r="I32" s="342">
        <f t="shared" si="5"/>
        <v>0.39766217398535103</v>
      </c>
      <c r="J32" s="342">
        <f t="shared" si="5"/>
        <v>0.33348926468231288</v>
      </c>
    </row>
    <row r="33" spans="2:10" x14ac:dyDescent="0.3">
      <c r="B33" s="221" t="s">
        <v>798</v>
      </c>
      <c r="C33" s="101">
        <v>137269190.62436002</v>
      </c>
      <c r="D33" s="101">
        <v>115067438.07908002</v>
      </c>
      <c r="E33" s="101">
        <v>71363481.301360011</v>
      </c>
      <c r="F33" s="101">
        <v>49161728.756080002</v>
      </c>
      <c r="G33" s="342">
        <f>C33/C17</f>
        <v>0.36749170130835157</v>
      </c>
      <c r="H33" s="342">
        <f t="shared" ref="H33:J33" si="6">D33/D17</f>
        <v>0.33722560803180679</v>
      </c>
      <c r="I33" s="342">
        <f t="shared" si="6"/>
        <v>0.38754779161624708</v>
      </c>
      <c r="J33" s="342">
        <f t="shared" si="6"/>
        <v>0.32379660774043478</v>
      </c>
    </row>
    <row r="34" spans="2:10" x14ac:dyDescent="0.3">
      <c r="B34" s="221" t="s">
        <v>799</v>
      </c>
      <c r="C34" s="101">
        <v>135822722.56255922</v>
      </c>
      <c r="D34" s="101">
        <v>113748315.76259761</v>
      </c>
      <c r="E34" s="101">
        <v>70756649.950499207</v>
      </c>
      <c r="F34" s="101">
        <v>48682243.150537603</v>
      </c>
      <c r="G34" s="342">
        <f>C34/C17</f>
        <v>0.36361927366088326</v>
      </c>
      <c r="H34" s="342">
        <f t="shared" ref="H34:J34" si="7">D34/D17</f>
        <v>0.33335968529406068</v>
      </c>
      <c r="I34" s="342">
        <f t="shared" si="7"/>
        <v>0.38425232248244057</v>
      </c>
      <c r="J34" s="342">
        <f t="shared" si="7"/>
        <v>0.32063854522995411</v>
      </c>
    </row>
    <row r="35" spans="2:10" x14ac:dyDescent="0.3">
      <c r="B35" s="86" t="s">
        <v>999</v>
      </c>
      <c r="G35" s="343" t="s">
        <v>1048</v>
      </c>
      <c r="H35" s="343"/>
      <c r="I35" s="343"/>
      <c r="J35" s="343"/>
    </row>
    <row r="36" spans="2:10" x14ac:dyDescent="0.3">
      <c r="B36" s="221" t="s">
        <v>1003</v>
      </c>
      <c r="C36" s="101">
        <v>127403415.39000002</v>
      </c>
      <c r="D36" s="101">
        <v>104138724.99000001</v>
      </c>
      <c r="E36" s="101">
        <v>66326179.190000005</v>
      </c>
      <c r="F36" s="101">
        <v>43061488.789999999</v>
      </c>
      <c r="G36" s="343">
        <f>C36/(C22+0.5*C28)</f>
        <v>0.5010225655025301</v>
      </c>
      <c r="H36" s="343">
        <f t="shared" ref="H36:J36" si="8">D36/(D22+0.5*D28)</f>
        <v>0.46914679839362428</v>
      </c>
      <c r="I36" s="343">
        <f t="shared" si="8"/>
        <v>0.47344623234010924</v>
      </c>
      <c r="J36" s="343">
        <f t="shared" si="8"/>
        <v>0.39953043705244468</v>
      </c>
    </row>
    <row r="37" spans="2:10" x14ac:dyDescent="0.3">
      <c r="B37" s="221" t="s">
        <v>801</v>
      </c>
      <c r="C37" s="101">
        <v>131177818.958</v>
      </c>
      <c r="D37" s="101">
        <v>108585219.61399999</v>
      </c>
      <c r="E37" s="101">
        <v>68376782.758000016</v>
      </c>
      <c r="F37" s="101">
        <v>45784183.414000005</v>
      </c>
      <c r="G37" s="343">
        <f>C37/(C22+0.5*C28)</f>
        <v>0.51586566333544492</v>
      </c>
      <c r="H37" s="343">
        <f t="shared" ref="H37:J37" si="9">D37/(D22+0.5*D28)</f>
        <v>0.489178335337488</v>
      </c>
      <c r="I37" s="343">
        <f t="shared" si="9"/>
        <v>0.48808374870467569</v>
      </c>
      <c r="J37" s="343">
        <f t="shared" si="9"/>
        <v>0.42479197360525606</v>
      </c>
    </row>
    <row r="38" spans="2:10" x14ac:dyDescent="0.3">
      <c r="B38" s="221" t="s">
        <v>802</v>
      </c>
      <c r="C38" s="101">
        <v>133372779.80216002</v>
      </c>
      <c r="D38" s="101">
        <v>111171027.25688002</v>
      </c>
      <c r="E38" s="101">
        <v>69569287.602160007</v>
      </c>
      <c r="F38" s="101">
        <v>47367535.056880005</v>
      </c>
      <c r="G38" s="343">
        <f>C38/(C22+0.5*C28)</f>
        <v>0.52449749561366321</v>
      </c>
      <c r="H38" s="343">
        <f t="shared" ref="H38:J38" si="10">D38/(D22+0.5*D28)</f>
        <v>0.50082744451407357</v>
      </c>
      <c r="I38" s="343">
        <f t="shared" si="10"/>
        <v>0.4965960274520696</v>
      </c>
      <c r="J38" s="343">
        <f t="shared" si="10"/>
        <v>0.43948252870827559</v>
      </c>
    </row>
    <row r="39" spans="2:10" x14ac:dyDescent="0.3">
      <c r="B39" s="221" t="s">
        <v>803</v>
      </c>
      <c r="C39" s="101">
        <v>134087942.17667523</v>
      </c>
      <c r="D39" s="101">
        <v>112013535.3767136</v>
      </c>
      <c r="E39" s="101">
        <v>69957829.656675205</v>
      </c>
      <c r="F39" s="101">
        <v>47883422.8567136</v>
      </c>
      <c r="G39" s="343">
        <f>C39/(C22+0.5*C28)</f>
        <v>0.52730992011997369</v>
      </c>
      <c r="H39" s="343">
        <f t="shared" ref="H39:J39" si="11">D39/(D22+0.5*D28)</f>
        <v>0.50462295849869854</v>
      </c>
      <c r="I39" s="343">
        <f t="shared" si="11"/>
        <v>0.49936949901431571</v>
      </c>
      <c r="J39" s="343">
        <f t="shared" si="11"/>
        <v>0.44426900692649746</v>
      </c>
    </row>
    <row r="40" spans="2:10" x14ac:dyDescent="0.3">
      <c r="B40" s="86" t="s">
        <v>1011</v>
      </c>
      <c r="G40" s="344" t="s">
        <v>1049</v>
      </c>
      <c r="H40" s="344"/>
      <c r="I40" s="344"/>
      <c r="J40" s="344"/>
    </row>
    <row r="41" spans="2:10" x14ac:dyDescent="0.3">
      <c r="B41" s="221" t="s">
        <v>1004</v>
      </c>
      <c r="C41" s="101">
        <v>21939250.125</v>
      </c>
      <c r="D41" s="101">
        <v>21939250.125</v>
      </c>
      <c r="E41" s="101">
        <v>10102442</v>
      </c>
      <c r="F41" s="101">
        <v>10102442</v>
      </c>
      <c r="G41" s="344">
        <f>C41/C22</f>
        <v>0.16246059140786615</v>
      </c>
      <c r="H41" s="344">
        <f t="shared" ref="H41:J41" si="12">D41/D22</f>
        <v>0.21355923745844141</v>
      </c>
      <c r="I41" s="344">
        <f t="shared" si="12"/>
        <v>0.10518608647413173</v>
      </c>
      <c r="J41" s="344">
        <f t="shared" si="12"/>
        <v>0.15851580342201535</v>
      </c>
    </row>
    <row r="42" spans="2:10" x14ac:dyDescent="0.3">
      <c r="B42" s="221" t="s">
        <v>807</v>
      </c>
      <c r="C42" s="101">
        <v>10530840.06000001</v>
      </c>
      <c r="D42" s="101">
        <v>10530840.06000001</v>
      </c>
      <c r="E42" s="101">
        <v>4849172.1600000039</v>
      </c>
      <c r="F42" s="101">
        <v>4849172.1600000039</v>
      </c>
      <c r="G42" s="344">
        <f>C42/C22</f>
        <v>7.798108387577582E-2</v>
      </c>
      <c r="H42" s="344">
        <f t="shared" ref="H42:J42" si="13">D42/D22</f>
        <v>0.10250843398005197</v>
      </c>
      <c r="I42" s="344">
        <f t="shared" si="13"/>
        <v>5.0489321507583271E-2</v>
      </c>
      <c r="J42" s="344">
        <f t="shared" si="13"/>
        <v>7.6087585642567429E-2</v>
      </c>
    </row>
    <row r="43" spans="2:10" x14ac:dyDescent="0.3">
      <c r="B43" s="221" t="s">
        <v>808</v>
      </c>
      <c r="C43" s="101">
        <v>3896410.8221999994</v>
      </c>
      <c r="D43" s="101">
        <v>3896410.8221999994</v>
      </c>
      <c r="E43" s="101">
        <v>1794193.6991999997</v>
      </c>
      <c r="F43" s="101">
        <v>1794193.6991999997</v>
      </c>
      <c r="G43" s="344">
        <f>C43/C22</f>
        <v>2.8853001034037023E-2</v>
      </c>
      <c r="H43" s="344">
        <f t="shared" ref="H43:J43" si="14">D43/D22</f>
        <v>3.7928120572619184E-2</v>
      </c>
      <c r="I43" s="344">
        <f t="shared" si="14"/>
        <v>1.8681048957805792E-2</v>
      </c>
      <c r="J43" s="344">
        <f t="shared" si="14"/>
        <v>2.8152406687749921E-2</v>
      </c>
    </row>
    <row r="44" spans="2:10" x14ac:dyDescent="0.3">
      <c r="B44" s="221" t="s">
        <v>809</v>
      </c>
      <c r="C44" s="101">
        <v>1734780.3858840007</v>
      </c>
      <c r="D44" s="101">
        <v>1734780.3858840007</v>
      </c>
      <c r="E44" s="101">
        <v>798820.2938240004</v>
      </c>
      <c r="F44" s="101">
        <v>798820.2938240004</v>
      </c>
      <c r="G44" s="344">
        <f>C44/C22</f>
        <v>1.2846083883802798E-2</v>
      </c>
      <c r="H44" s="344">
        <f t="shared" ref="H44:J44" si="15">D44/D22</f>
        <v>1.6886556024313885E-2</v>
      </c>
      <c r="I44" s="344">
        <f t="shared" si="15"/>
        <v>8.3172742296825485E-3</v>
      </c>
      <c r="J44" s="344">
        <f t="shared" si="15"/>
        <v>1.2534161608185605E-2</v>
      </c>
    </row>
    <row r="45" spans="2:10" x14ac:dyDescent="0.3">
      <c r="B45" s="86"/>
    </row>
    <row r="46" spans="2:10" x14ac:dyDescent="0.3">
      <c r="C46" s="101"/>
      <c r="D46" s="101"/>
      <c r="E46" s="101"/>
      <c r="F46" s="101"/>
    </row>
    <row r="48" spans="2:10" x14ac:dyDescent="0.3">
      <c r="B48" s="86" t="s">
        <v>820</v>
      </c>
    </row>
    <row r="49" spans="2:11" ht="57.6" x14ac:dyDescent="0.3">
      <c r="C49" s="176" t="s">
        <v>1058</v>
      </c>
      <c r="D49" s="176" t="s">
        <v>1059</v>
      </c>
      <c r="E49" s="176" t="s">
        <v>1060</v>
      </c>
      <c r="F49" s="176" t="s">
        <v>1061</v>
      </c>
    </row>
    <row r="50" spans="2:11" x14ac:dyDescent="0.3">
      <c r="B50" s="221" t="s">
        <v>743</v>
      </c>
      <c r="C50" s="2">
        <v>100</v>
      </c>
      <c r="D50" s="2">
        <v>100</v>
      </c>
      <c r="E50" s="2">
        <v>100</v>
      </c>
      <c r="F50" s="2">
        <v>100</v>
      </c>
      <c r="G50" s="103" t="s">
        <v>821</v>
      </c>
    </row>
    <row r="51" spans="2:11" x14ac:dyDescent="0.3">
      <c r="B51" s="221" t="s">
        <v>745</v>
      </c>
      <c r="C51" s="2" t="s">
        <v>908</v>
      </c>
      <c r="D51" s="2" t="s">
        <v>908</v>
      </c>
      <c r="E51" s="2" t="s">
        <v>908</v>
      </c>
      <c r="F51" s="2" t="s">
        <v>908</v>
      </c>
    </row>
    <row r="52" spans="2:11" x14ac:dyDescent="0.3">
      <c r="B52" s="221" t="s">
        <v>756</v>
      </c>
      <c r="C52" s="2" t="s">
        <v>910</v>
      </c>
      <c r="D52" s="2" t="s">
        <v>910</v>
      </c>
      <c r="E52" s="2" t="s">
        <v>910</v>
      </c>
      <c r="F52" s="2" t="s">
        <v>910</v>
      </c>
    </row>
    <row r="53" spans="2:11" x14ac:dyDescent="0.3">
      <c r="B53" s="221" t="s">
        <v>755</v>
      </c>
      <c r="C53" s="221">
        <v>660</v>
      </c>
      <c r="D53" s="221">
        <v>660</v>
      </c>
      <c r="E53" s="221">
        <v>660</v>
      </c>
      <c r="F53" s="221">
        <v>660</v>
      </c>
    </row>
    <row r="54" spans="2:11" x14ac:dyDescent="0.3">
      <c r="B54" s="221" t="s">
        <v>760</v>
      </c>
      <c r="C54" s="221">
        <v>99</v>
      </c>
      <c r="D54" s="221">
        <v>1</v>
      </c>
      <c r="E54" s="221">
        <v>99</v>
      </c>
      <c r="F54" s="221">
        <v>1</v>
      </c>
    </row>
    <row r="55" spans="2:11" x14ac:dyDescent="0.3">
      <c r="B55" s="221" t="s">
        <v>761</v>
      </c>
      <c r="C55" s="221">
        <v>5</v>
      </c>
      <c r="D55" s="221">
        <v>2E-3</v>
      </c>
      <c r="E55" s="221">
        <v>5</v>
      </c>
      <c r="F55" s="221">
        <v>2E-3</v>
      </c>
      <c r="G55" s="221" t="s">
        <v>822</v>
      </c>
    </row>
    <row r="57" spans="2:11" x14ac:dyDescent="0.3">
      <c r="H57" s="156" t="s">
        <v>1050</v>
      </c>
      <c r="I57" s="156"/>
      <c r="J57" s="156"/>
      <c r="K57" s="156"/>
    </row>
    <row r="58" spans="2:11" x14ac:dyDescent="0.3">
      <c r="B58" s="221" t="s">
        <v>934</v>
      </c>
      <c r="C58" s="101">
        <v>64650000.000000007</v>
      </c>
      <c r="D58" s="101">
        <v>32337930</v>
      </c>
      <c r="E58" s="101">
        <v>64650000.000000007</v>
      </c>
      <c r="F58" s="101">
        <v>32337930</v>
      </c>
      <c r="H58" s="156">
        <f>C58/$C$61</f>
        <v>0.69578364110783686</v>
      </c>
      <c r="I58" s="156">
        <f>D58/$D$61</f>
        <v>0.5335874260882133</v>
      </c>
      <c r="J58" s="156">
        <f>E58/$E$61</f>
        <v>0.78101579341747862</v>
      </c>
      <c r="K58" s="156">
        <f>F58/$F$61</f>
        <v>0.64080240317947745</v>
      </c>
    </row>
    <row r="59" spans="2:11" x14ac:dyDescent="0.3">
      <c r="B59" s="221" t="s">
        <v>935</v>
      </c>
      <c r="C59" s="101">
        <v>3143015.2</v>
      </c>
      <c r="D59" s="101">
        <v>3143015.2</v>
      </c>
      <c r="E59" s="101">
        <v>3143015.2</v>
      </c>
      <c r="F59" s="101">
        <v>3143015.2</v>
      </c>
      <c r="H59" s="156">
        <f t="shared" ref="H59:H60" si="16">C59/$C$61</f>
        <v>3.3826118482803959E-2</v>
      </c>
      <c r="I59" s="156">
        <f t="shared" ref="I59:I60" si="17">D59/$D$61</f>
        <v>5.1860876398833536E-2</v>
      </c>
      <c r="J59" s="156">
        <f t="shared" ref="J59:J60" si="18">E59/$E$61</f>
        <v>3.796975267055213E-2</v>
      </c>
      <c r="K59" s="156">
        <f t="shared" ref="K59:K60" si="19">F59/$F$61</f>
        <v>6.2281404325806443E-2</v>
      </c>
    </row>
    <row r="60" spans="2:11" x14ac:dyDescent="0.3">
      <c r="B60" s="8" t="s">
        <v>936</v>
      </c>
      <c r="C60" s="170">
        <v>25123800</v>
      </c>
      <c r="D60" s="170">
        <v>25123800</v>
      </c>
      <c r="E60" s="170">
        <v>14983800</v>
      </c>
      <c r="F60" s="170">
        <v>14983800</v>
      </c>
      <c r="H60" s="156">
        <f t="shared" si="16"/>
        <v>0.27039024040935916</v>
      </c>
      <c r="I60" s="156">
        <f t="shared" si="17"/>
        <v>0.41455169751295312</v>
      </c>
      <c r="J60" s="156">
        <f t="shared" si="18"/>
        <v>0.1810144539119693</v>
      </c>
      <c r="K60" s="156">
        <f t="shared" si="19"/>
        <v>0.29691619249471607</v>
      </c>
    </row>
    <row r="61" spans="2:11" x14ac:dyDescent="0.3">
      <c r="B61" s="146" t="s">
        <v>819</v>
      </c>
      <c r="C61" s="171">
        <v>92916815.200000003</v>
      </c>
      <c r="D61" s="171">
        <v>60604745.200000003</v>
      </c>
      <c r="E61" s="171">
        <v>82776815.200000003</v>
      </c>
      <c r="F61" s="171">
        <v>50464745.200000003</v>
      </c>
    </row>
    <row r="67" spans="2:38" x14ac:dyDescent="0.3">
      <c r="J67" s="86" t="s">
        <v>838</v>
      </c>
    </row>
    <row r="68" spans="2:38" x14ac:dyDescent="0.3">
      <c r="I68" s="221" t="s">
        <v>1013</v>
      </c>
      <c r="J68" s="86" t="s">
        <v>1014</v>
      </c>
    </row>
    <row r="69" spans="2:38" x14ac:dyDescent="0.3">
      <c r="I69" s="186" t="s">
        <v>1012</v>
      </c>
      <c r="J69" s="175">
        <v>149342665.51499999</v>
      </c>
      <c r="K69" s="175">
        <v>126077975.11500001</v>
      </c>
      <c r="L69" s="175">
        <v>76428621.189999998</v>
      </c>
      <c r="M69" s="175">
        <v>53163930.789999999</v>
      </c>
    </row>
    <row r="70" spans="2:38" x14ac:dyDescent="0.3">
      <c r="I70" s="186" t="s">
        <v>835</v>
      </c>
      <c r="J70" s="175">
        <v>141708659.01800001</v>
      </c>
      <c r="K70" s="175">
        <v>119116059.67399999</v>
      </c>
      <c r="L70" s="175">
        <v>73225954.918000013</v>
      </c>
      <c r="M70" s="175">
        <v>50633355.574000001</v>
      </c>
      <c r="T70" s="221">
        <v>4633</v>
      </c>
      <c r="Y70" s="221">
        <v>4633</v>
      </c>
    </row>
    <row r="71" spans="2:38" x14ac:dyDescent="0.3">
      <c r="E71" s="243" t="s">
        <v>834</v>
      </c>
      <c r="F71" s="243"/>
      <c r="G71" s="243"/>
      <c r="H71" s="243"/>
      <c r="I71" s="186" t="s">
        <v>836</v>
      </c>
      <c r="J71" s="175">
        <v>137269190.62436002</v>
      </c>
      <c r="K71" s="175">
        <v>115067438.07908002</v>
      </c>
      <c r="L71" s="175">
        <v>71363481.301360011</v>
      </c>
      <c r="M71" s="175">
        <v>49161728.756080002</v>
      </c>
      <c r="O71" s="86" t="s">
        <v>838</v>
      </c>
      <c r="T71" s="86" t="s">
        <v>937</v>
      </c>
      <c r="AD71" s="221" t="s">
        <v>1033</v>
      </c>
      <c r="AI71" s="221" t="s">
        <v>1034</v>
      </c>
    </row>
    <row r="72" spans="2:38" x14ac:dyDescent="0.3">
      <c r="E72" s="175">
        <v>373530042</v>
      </c>
      <c r="F72" s="175">
        <v>341217972</v>
      </c>
      <c r="G72" s="175">
        <v>184141112</v>
      </c>
      <c r="H72" s="175">
        <v>151829042</v>
      </c>
      <c r="I72" s="186" t="s">
        <v>837</v>
      </c>
      <c r="J72" s="175">
        <v>135822722.56255922</v>
      </c>
      <c r="K72" s="175">
        <v>113748315.76259761</v>
      </c>
      <c r="L72" s="175">
        <v>70756649.950499207</v>
      </c>
      <c r="M72" s="175">
        <v>48682243.150537603</v>
      </c>
      <c r="O72" s="244" t="s">
        <v>1017</v>
      </c>
      <c r="P72" s="244"/>
      <c r="Q72" s="244"/>
      <c r="R72" s="244"/>
      <c r="T72" s="221" t="s">
        <v>969</v>
      </c>
      <c r="Y72" s="221" t="s">
        <v>968</v>
      </c>
      <c r="AD72" s="221" t="s">
        <v>972</v>
      </c>
      <c r="AI72" s="221" t="s">
        <v>972</v>
      </c>
    </row>
    <row r="73" spans="2:38" ht="28.8" x14ac:dyDescent="0.3">
      <c r="B73" s="176" t="s">
        <v>823</v>
      </c>
      <c r="C73" s="176" t="s">
        <v>824</v>
      </c>
      <c r="D73" s="176" t="s">
        <v>825</v>
      </c>
      <c r="E73" s="181" t="s">
        <v>828</v>
      </c>
      <c r="F73" s="181" t="s">
        <v>829</v>
      </c>
      <c r="G73" s="181" t="s">
        <v>830</v>
      </c>
      <c r="H73" s="181" t="s">
        <v>831</v>
      </c>
      <c r="I73" s="189" t="s">
        <v>839</v>
      </c>
      <c r="J73" s="188" t="s">
        <v>828</v>
      </c>
      <c r="K73" s="188" t="s">
        <v>829</v>
      </c>
      <c r="L73" s="188" t="s">
        <v>830</v>
      </c>
      <c r="M73" s="188" t="s">
        <v>831</v>
      </c>
      <c r="N73" s="8"/>
      <c r="O73" s="188" t="s">
        <v>828</v>
      </c>
      <c r="P73" s="188" t="s">
        <v>829</v>
      </c>
      <c r="Q73" s="188" t="s">
        <v>830</v>
      </c>
      <c r="R73" s="188" t="s">
        <v>831</v>
      </c>
      <c r="S73" s="8"/>
      <c r="T73" s="170">
        <f>11789+4633</f>
        <v>16422</v>
      </c>
      <c r="U73" s="170">
        <f>7689+4633</f>
        <v>12322</v>
      </c>
      <c r="V73" s="170">
        <f>10502+4633</f>
        <v>15135</v>
      </c>
      <c r="W73" s="170">
        <f>6403+4633</f>
        <v>11036</v>
      </c>
      <c r="X73" s="8"/>
      <c r="Y73" s="170">
        <f>25933+4633</f>
        <v>30566</v>
      </c>
      <c r="Z73" s="170">
        <f>16915+4633</f>
        <v>21548</v>
      </c>
      <c r="AA73" s="170">
        <f>23103+4633</f>
        <v>27736</v>
      </c>
      <c r="AB73" s="170">
        <f>14085+4633</f>
        <v>18718</v>
      </c>
      <c r="AC73" s="8"/>
      <c r="AD73" s="170">
        <f>Y73*15+0.32*(4000000/0.9778+E93+T73)</f>
        <v>1775435.8491966415</v>
      </c>
      <c r="AE73" s="170">
        <f>Z73*15+0.32*(4000000/0.9778+F93+U73)</f>
        <v>1638626.3722238415</v>
      </c>
      <c r="AF73" s="170">
        <f>AA73*15+0.32*(4000000/0.9778+G93+V73)</f>
        <v>1731240.7111294414</v>
      </c>
      <c r="AG73" s="170">
        <f>AB73*15+0.32*(4000000/0.9778+H93+W73)</f>
        <v>1594431.5541566415</v>
      </c>
      <c r="AI73" s="170">
        <f>Y73*15+0.32*(1000000/0.9778+E93+T73)</f>
        <v>793639.98092092038</v>
      </c>
      <c r="AJ73" s="170">
        <f>Z73*15+0.32*(1000000/0.9778+F93+U73)</f>
        <v>656830.5039481204</v>
      </c>
      <c r="AK73" s="170">
        <f>AA73*15+0.32*(1000000/0.9778+G93+V73)</f>
        <v>749444.8428537203</v>
      </c>
      <c r="AL73" s="170">
        <f>AB73*15+0.32*(1000000/0.9778+H93+W73)</f>
        <v>612635.68588092038</v>
      </c>
    </row>
    <row r="74" spans="2:38" x14ac:dyDescent="0.3">
      <c r="B74" s="225"/>
      <c r="C74" s="225"/>
      <c r="D74" s="225"/>
      <c r="E74" s="181"/>
      <c r="F74" s="181"/>
      <c r="G74" s="181"/>
      <c r="H74" s="181"/>
      <c r="I74" s="145" t="s">
        <v>1004</v>
      </c>
      <c r="J74" s="235">
        <f>J69*$D$75</f>
        <v>149342665.51499999</v>
      </c>
      <c r="K74" s="235">
        <f t="shared" ref="K74:M74" si="20">K69*$D$75</f>
        <v>126077975.11500001</v>
      </c>
      <c r="L74" s="235">
        <f t="shared" si="20"/>
        <v>76428621.189999998</v>
      </c>
      <c r="M74" s="235">
        <f t="shared" si="20"/>
        <v>53163930.789999999</v>
      </c>
      <c r="N74" s="207"/>
      <c r="O74" s="182">
        <f>E$76-J74</f>
        <v>224187376.48500001</v>
      </c>
      <c r="P74" s="182">
        <f t="shared" ref="P74:R77" si="21">F$76-K74</f>
        <v>215139996.88499999</v>
      </c>
      <c r="Q74" s="182">
        <f t="shared" si="21"/>
        <v>107712490.81</v>
      </c>
      <c r="R74" s="182">
        <f t="shared" si="21"/>
        <v>98665111.210000008</v>
      </c>
      <c r="S74" s="207"/>
      <c r="T74" s="182">
        <f>O74-T$73</f>
        <v>224170954.48500001</v>
      </c>
      <c r="U74" s="182">
        <f t="shared" ref="U74:W89" si="22">P74-U$73</f>
        <v>215127674.88499999</v>
      </c>
      <c r="V74" s="182">
        <f t="shared" si="22"/>
        <v>107697355.81</v>
      </c>
      <c r="W74" s="182">
        <f t="shared" si="22"/>
        <v>98654075.210000008</v>
      </c>
      <c r="X74" s="207"/>
      <c r="Y74" s="182">
        <f>O74-Y$73</f>
        <v>224156810.48500001</v>
      </c>
      <c r="Z74" s="182">
        <f t="shared" ref="Z74:AB89" si="23">P74-Z$73</f>
        <v>215118448.88499999</v>
      </c>
      <c r="AA74" s="182">
        <f t="shared" si="23"/>
        <v>107684754.81</v>
      </c>
      <c r="AB74" s="182">
        <f t="shared" si="23"/>
        <v>98646393.210000008</v>
      </c>
      <c r="AC74" s="207"/>
      <c r="AD74" s="182">
        <f>O74-AD$73</f>
        <v>222411940.63580337</v>
      </c>
      <c r="AE74" s="182">
        <f t="shared" ref="AE74:AG89" si="24">P74-AE$73</f>
        <v>213501370.51277614</v>
      </c>
      <c r="AF74" s="182">
        <f t="shared" si="24"/>
        <v>105981250.09887056</v>
      </c>
      <c r="AG74" s="182">
        <f t="shared" si="24"/>
        <v>97070679.655843362</v>
      </c>
      <c r="AI74" s="182">
        <f>O74-AI$73</f>
        <v>223393736.5040791</v>
      </c>
      <c r="AJ74" s="182">
        <f t="shared" ref="AJ74:AL89" si="25">P74-AJ$73</f>
        <v>214483166.38105187</v>
      </c>
      <c r="AK74" s="182">
        <f t="shared" si="25"/>
        <v>106963045.96714628</v>
      </c>
      <c r="AL74" s="182">
        <f t="shared" si="25"/>
        <v>98052475.524119094</v>
      </c>
    </row>
    <row r="75" spans="2:38" x14ac:dyDescent="0.3">
      <c r="B75" s="222" t="s">
        <v>826</v>
      </c>
      <c r="C75" s="179">
        <v>1</v>
      </c>
      <c r="D75" s="179">
        <v>1</v>
      </c>
      <c r="I75" s="221" t="s">
        <v>835</v>
      </c>
      <c r="J75" s="235">
        <f t="shared" ref="J75:M77" si="26">J70*$D$75</f>
        <v>141708659.01800001</v>
      </c>
      <c r="K75" s="235">
        <f t="shared" si="26"/>
        <v>119116059.67399999</v>
      </c>
      <c r="L75" s="235">
        <f t="shared" si="26"/>
        <v>73225954.918000013</v>
      </c>
      <c r="M75" s="235">
        <f t="shared" si="26"/>
        <v>50633355.574000001</v>
      </c>
      <c r="O75" s="182">
        <f>E$76-J75</f>
        <v>231821382.98199999</v>
      </c>
      <c r="P75" s="182">
        <f t="shared" si="21"/>
        <v>222101912.32600001</v>
      </c>
      <c r="Q75" s="182">
        <f t="shared" si="21"/>
        <v>110915157.08199999</v>
      </c>
      <c r="R75" s="182">
        <f t="shared" si="21"/>
        <v>101195686.426</v>
      </c>
      <c r="T75" s="182">
        <f>O75-T$73</f>
        <v>231804960.98199999</v>
      </c>
      <c r="U75" s="182">
        <f t="shared" si="22"/>
        <v>222089590.32600001</v>
      </c>
      <c r="V75" s="182">
        <f t="shared" si="22"/>
        <v>110900022.08199999</v>
      </c>
      <c r="W75" s="182">
        <f t="shared" si="22"/>
        <v>101184650.426</v>
      </c>
      <c r="Y75" s="182">
        <f>O75-Y$73</f>
        <v>231790816.98199999</v>
      </c>
      <c r="Z75" s="182">
        <f t="shared" si="23"/>
        <v>222080364.32600001</v>
      </c>
      <c r="AA75" s="182">
        <f t="shared" si="23"/>
        <v>110887421.08199999</v>
      </c>
      <c r="AB75" s="182">
        <f t="shared" si="23"/>
        <v>101176968.426</v>
      </c>
      <c r="AD75" s="182">
        <f>O75-AD$73</f>
        <v>230045947.13280335</v>
      </c>
      <c r="AE75" s="182">
        <f t="shared" si="24"/>
        <v>220463285.95377615</v>
      </c>
      <c r="AF75" s="182">
        <f t="shared" si="24"/>
        <v>109183916.37087055</v>
      </c>
      <c r="AG75" s="182">
        <f t="shared" si="24"/>
        <v>99601254.871843353</v>
      </c>
      <c r="AI75" s="182">
        <f t="shared" ref="AI75:AL97" si="27">O75-AI$73</f>
        <v>231027743.00107908</v>
      </c>
      <c r="AJ75" s="182">
        <f t="shared" si="25"/>
        <v>221445081.82205188</v>
      </c>
      <c r="AK75" s="182">
        <f t="shared" si="25"/>
        <v>110165712.23914626</v>
      </c>
      <c r="AL75" s="182">
        <f t="shared" si="25"/>
        <v>100583050.74011908</v>
      </c>
    </row>
    <row r="76" spans="2:38" x14ac:dyDescent="0.3">
      <c r="B76" s="222"/>
      <c r="C76" s="179"/>
      <c r="D76" s="179" t="s">
        <v>832</v>
      </c>
      <c r="E76" s="182">
        <f>E72*$D75</f>
        <v>373530042</v>
      </c>
      <c r="F76" s="182">
        <f t="shared" ref="F76:H76" si="28">F72*$D75</f>
        <v>341217972</v>
      </c>
      <c r="G76" s="182">
        <f t="shared" si="28"/>
        <v>184141112</v>
      </c>
      <c r="H76" s="195">
        <f t="shared" si="28"/>
        <v>151829042</v>
      </c>
      <c r="I76" s="221" t="s">
        <v>836</v>
      </c>
      <c r="J76" s="235">
        <f t="shared" si="26"/>
        <v>137269190.62436002</v>
      </c>
      <c r="K76" s="235">
        <f t="shared" si="26"/>
        <v>115067438.07908002</v>
      </c>
      <c r="L76" s="235">
        <f t="shared" si="26"/>
        <v>71363481.301360011</v>
      </c>
      <c r="M76" s="235">
        <f t="shared" si="26"/>
        <v>49161728.756080002</v>
      </c>
      <c r="O76" s="182">
        <f t="shared" ref="O76:O77" si="29">E$76-J76</f>
        <v>236260851.37563998</v>
      </c>
      <c r="P76" s="182">
        <f t="shared" si="21"/>
        <v>226150533.92091998</v>
      </c>
      <c r="Q76" s="182">
        <f t="shared" si="21"/>
        <v>112777630.69863999</v>
      </c>
      <c r="R76" s="182">
        <f t="shared" si="21"/>
        <v>102667313.24392</v>
      </c>
      <c r="T76" s="182">
        <f t="shared" ref="T76:W97" si="30">O76-T$73</f>
        <v>236244429.37563998</v>
      </c>
      <c r="U76" s="182">
        <f t="shared" si="22"/>
        <v>226138211.92091998</v>
      </c>
      <c r="V76" s="182">
        <f t="shared" si="22"/>
        <v>112762495.69863999</v>
      </c>
      <c r="W76" s="182">
        <f t="shared" si="22"/>
        <v>102656277.24392</v>
      </c>
      <c r="Y76" s="182">
        <f t="shared" ref="Y76:AB97" si="31">O76-Y$73</f>
        <v>236230285.37563998</v>
      </c>
      <c r="Z76" s="182">
        <f t="shared" si="23"/>
        <v>226128985.92091998</v>
      </c>
      <c r="AA76" s="182">
        <f t="shared" si="23"/>
        <v>112749894.69863999</v>
      </c>
      <c r="AB76" s="182">
        <f t="shared" si="23"/>
        <v>102648595.24392</v>
      </c>
      <c r="AD76" s="182">
        <f t="shared" ref="AD76:AG97" si="32">O76-AD$73</f>
        <v>234485415.52644333</v>
      </c>
      <c r="AE76" s="182">
        <f t="shared" si="24"/>
        <v>224511907.54869613</v>
      </c>
      <c r="AF76" s="182">
        <f t="shared" si="24"/>
        <v>111046389.98751055</v>
      </c>
      <c r="AG76" s="182">
        <f t="shared" si="24"/>
        <v>101072881.68976335</v>
      </c>
      <c r="AI76" s="182">
        <f t="shared" si="27"/>
        <v>235467211.39471906</v>
      </c>
      <c r="AJ76" s="182">
        <f t="shared" si="25"/>
        <v>225493703.41697186</v>
      </c>
      <c r="AK76" s="182">
        <f t="shared" si="25"/>
        <v>112028185.85578626</v>
      </c>
      <c r="AL76" s="182">
        <f t="shared" si="25"/>
        <v>102054677.55803908</v>
      </c>
    </row>
    <row r="77" spans="2:38" x14ac:dyDescent="0.3">
      <c r="B77" s="222"/>
      <c r="C77" s="179"/>
      <c r="D77" s="179" t="s">
        <v>833</v>
      </c>
      <c r="E77" s="182">
        <f>E72*$C$75</f>
        <v>373530042</v>
      </c>
      <c r="F77" s="182">
        <f t="shared" ref="F77:H77" si="33">F72*$C$75</f>
        <v>341217972</v>
      </c>
      <c r="G77" s="182">
        <f t="shared" si="33"/>
        <v>184141112</v>
      </c>
      <c r="H77" s="195">
        <f t="shared" si="33"/>
        <v>151829042</v>
      </c>
      <c r="I77" s="8" t="s">
        <v>837</v>
      </c>
      <c r="J77" s="236">
        <f t="shared" si="26"/>
        <v>135822722.56255922</v>
      </c>
      <c r="K77" s="236">
        <f t="shared" si="26"/>
        <v>113748315.76259761</v>
      </c>
      <c r="L77" s="236">
        <f t="shared" si="26"/>
        <v>70756649.950499207</v>
      </c>
      <c r="M77" s="236">
        <f t="shared" si="26"/>
        <v>48682243.150537603</v>
      </c>
      <c r="N77" s="8"/>
      <c r="O77" s="194">
        <f t="shared" si="29"/>
        <v>237707319.43744078</v>
      </c>
      <c r="P77" s="194">
        <f t="shared" si="21"/>
        <v>227469656.23740238</v>
      </c>
      <c r="Q77" s="194">
        <f t="shared" si="21"/>
        <v>113384462.04950079</v>
      </c>
      <c r="R77" s="194">
        <f t="shared" si="21"/>
        <v>103146798.84946239</v>
      </c>
      <c r="S77" s="8"/>
      <c r="T77" s="194">
        <f t="shared" si="30"/>
        <v>237690897.43744078</v>
      </c>
      <c r="U77" s="194">
        <f t="shared" si="22"/>
        <v>227457334.23740238</v>
      </c>
      <c r="V77" s="194">
        <f t="shared" si="22"/>
        <v>113369327.04950079</v>
      </c>
      <c r="W77" s="194">
        <f t="shared" si="22"/>
        <v>103135762.84946239</v>
      </c>
      <c r="X77" s="8"/>
      <c r="Y77" s="194">
        <f t="shared" si="31"/>
        <v>237676753.43744078</v>
      </c>
      <c r="Z77" s="194">
        <f t="shared" si="23"/>
        <v>227448108.23740238</v>
      </c>
      <c r="AA77" s="194">
        <f t="shared" si="23"/>
        <v>113356726.04950079</v>
      </c>
      <c r="AB77" s="194">
        <f t="shared" si="23"/>
        <v>103128080.84946239</v>
      </c>
      <c r="AC77" s="8"/>
      <c r="AD77" s="194">
        <f t="shared" si="32"/>
        <v>235931883.58824414</v>
      </c>
      <c r="AE77" s="194">
        <f t="shared" si="24"/>
        <v>225831029.86517853</v>
      </c>
      <c r="AF77" s="194">
        <f t="shared" si="24"/>
        <v>111653221.33837135</v>
      </c>
      <c r="AG77" s="194">
        <f t="shared" si="24"/>
        <v>101552367.29530574</v>
      </c>
      <c r="AI77" s="194">
        <f t="shared" si="27"/>
        <v>236913679.45651987</v>
      </c>
      <c r="AJ77" s="194">
        <f t="shared" si="25"/>
        <v>226812825.73345426</v>
      </c>
      <c r="AK77" s="194">
        <f t="shared" si="25"/>
        <v>112635017.20664707</v>
      </c>
      <c r="AL77" s="194">
        <f t="shared" si="25"/>
        <v>102534163.16358148</v>
      </c>
    </row>
    <row r="78" spans="2:38" x14ac:dyDescent="0.3">
      <c r="B78" s="222"/>
      <c r="C78" s="179"/>
      <c r="D78" s="179"/>
      <c r="E78" s="182"/>
      <c r="F78" s="182"/>
      <c r="G78" s="182"/>
      <c r="H78" s="195"/>
      <c r="I78" s="145" t="s">
        <v>1004</v>
      </c>
      <c r="J78" s="208">
        <f>J69*$D$79</f>
        <v>68878629.447504178</v>
      </c>
      <c r="K78" s="208">
        <f t="shared" ref="K78:M81" si="34">K69*$D$79</f>
        <v>58148675.058739386</v>
      </c>
      <c r="L78" s="208">
        <f t="shared" si="34"/>
        <v>35249797.236282282</v>
      </c>
      <c r="M78" s="208">
        <f t="shared" si="34"/>
        <v>24519842.847517479</v>
      </c>
      <c r="N78" s="207"/>
      <c r="O78" s="182">
        <f>E$80-J78</f>
        <v>103397908.28339984</v>
      </c>
      <c r="P78" s="182">
        <f t="shared" ref="P78:R81" si="35">F$80-K78</f>
        <v>99225148.243324608</v>
      </c>
      <c r="Q78" s="182">
        <f t="shared" si="35"/>
        <v>49678293.311461724</v>
      </c>
      <c r="R78" s="182">
        <f t="shared" si="35"/>
        <v>45505533.271386519</v>
      </c>
      <c r="S78" s="207"/>
      <c r="T78" s="182">
        <f t="shared" si="30"/>
        <v>103381486.28339984</v>
      </c>
      <c r="U78" s="182">
        <f t="shared" si="22"/>
        <v>99212826.243324608</v>
      </c>
      <c r="V78" s="182">
        <f t="shared" si="22"/>
        <v>49663158.311461724</v>
      </c>
      <c r="W78" s="182">
        <f t="shared" si="22"/>
        <v>45494497.271386519</v>
      </c>
      <c r="X78" s="207"/>
      <c r="Y78" s="182">
        <f t="shared" si="31"/>
        <v>103367342.28339984</v>
      </c>
      <c r="Z78" s="182">
        <f t="shared" si="23"/>
        <v>99203600.243324608</v>
      </c>
      <c r="AA78" s="182">
        <f t="shared" si="23"/>
        <v>49650557.311461724</v>
      </c>
      <c r="AB78" s="182">
        <f t="shared" si="23"/>
        <v>45486815.271386519</v>
      </c>
      <c r="AC78" s="207"/>
      <c r="AD78" s="182">
        <f t="shared" si="32"/>
        <v>101622472.43420319</v>
      </c>
      <c r="AE78" s="182">
        <f t="shared" si="24"/>
        <v>97586521.871100768</v>
      </c>
      <c r="AF78" s="182">
        <f t="shared" si="24"/>
        <v>47947052.600332282</v>
      </c>
      <c r="AG78" s="182">
        <f t="shared" si="24"/>
        <v>43911101.71722988</v>
      </c>
      <c r="AI78" s="182">
        <f t="shared" si="27"/>
        <v>102604268.30247891</v>
      </c>
      <c r="AJ78" s="182">
        <f t="shared" si="25"/>
        <v>98568317.739376485</v>
      </c>
      <c r="AK78" s="182">
        <f t="shared" si="25"/>
        <v>48928848.468608007</v>
      </c>
      <c r="AL78" s="182">
        <f t="shared" si="25"/>
        <v>44892897.585505597</v>
      </c>
    </row>
    <row r="79" spans="2:38" x14ac:dyDescent="0.3">
      <c r="B79" s="222" t="s">
        <v>916</v>
      </c>
      <c r="C79" s="180">
        <v>9.7420000000000007E-3</v>
      </c>
      <c r="D79" s="180">
        <v>0.46121200000000001</v>
      </c>
      <c r="I79" s="221" t="s">
        <v>835</v>
      </c>
      <c r="J79" s="101">
        <f>J70*$D$79</f>
        <v>65357734.043009818</v>
      </c>
      <c r="K79" s="101">
        <f t="shared" si="34"/>
        <v>54937756.114364885</v>
      </c>
      <c r="L79" s="101">
        <f t="shared" si="34"/>
        <v>33772689.119640626</v>
      </c>
      <c r="M79" s="101">
        <f t="shared" si="34"/>
        <v>23352711.190995689</v>
      </c>
      <c r="O79" s="182">
        <f>E$80-J79</f>
        <v>106918803.6878942</v>
      </c>
      <c r="P79" s="182">
        <f t="shared" si="35"/>
        <v>102436067.18769911</v>
      </c>
      <c r="Q79" s="182">
        <f t="shared" si="35"/>
        <v>51155401.42810338</v>
      </c>
      <c r="R79" s="182">
        <f t="shared" si="35"/>
        <v>46672664.927908301</v>
      </c>
      <c r="T79" s="182">
        <f t="shared" si="30"/>
        <v>106902381.6878942</v>
      </c>
      <c r="U79" s="182">
        <f t="shared" si="22"/>
        <v>102423745.18769911</v>
      </c>
      <c r="V79" s="182">
        <f t="shared" si="22"/>
        <v>51140266.42810338</v>
      </c>
      <c r="W79" s="182">
        <f t="shared" si="22"/>
        <v>46661628.927908301</v>
      </c>
      <c r="Y79" s="182">
        <f t="shared" si="31"/>
        <v>106888237.6878942</v>
      </c>
      <c r="Z79" s="182">
        <f t="shared" si="23"/>
        <v>102414519.18769911</v>
      </c>
      <c r="AA79" s="182">
        <f t="shared" si="23"/>
        <v>51127665.42810338</v>
      </c>
      <c r="AB79" s="182">
        <f t="shared" si="23"/>
        <v>46653946.927908301</v>
      </c>
      <c r="AD79" s="182">
        <f t="shared" si="32"/>
        <v>105143367.83869755</v>
      </c>
      <c r="AE79" s="182">
        <f t="shared" si="24"/>
        <v>100797440.81547527</v>
      </c>
      <c r="AF79" s="182">
        <f t="shared" si="24"/>
        <v>49424160.716973938</v>
      </c>
      <c r="AG79" s="182">
        <f t="shared" si="24"/>
        <v>45078233.373751663</v>
      </c>
      <c r="AI79" s="182">
        <f t="shared" si="27"/>
        <v>106125163.70697327</v>
      </c>
      <c r="AJ79" s="182">
        <f t="shared" si="25"/>
        <v>101779236.68375099</v>
      </c>
      <c r="AK79" s="182">
        <f t="shared" si="25"/>
        <v>50405956.585249662</v>
      </c>
      <c r="AL79" s="182">
        <f t="shared" si="25"/>
        <v>46060029.24202738</v>
      </c>
    </row>
    <row r="80" spans="2:38" x14ac:dyDescent="0.3">
      <c r="B80" s="222"/>
      <c r="C80" s="180"/>
      <c r="D80" s="179" t="s">
        <v>832</v>
      </c>
      <c r="E80" s="182">
        <f>E72*$D$79</f>
        <v>172276537.73090401</v>
      </c>
      <c r="F80" s="182">
        <f t="shared" ref="F80:H80" si="36">F72*$D$79</f>
        <v>157373823.302064</v>
      </c>
      <c r="G80" s="182">
        <f t="shared" si="36"/>
        <v>84928090.547744006</v>
      </c>
      <c r="H80" s="195">
        <f t="shared" si="36"/>
        <v>70025376.118903995</v>
      </c>
      <c r="I80" s="221" t="s">
        <v>836</v>
      </c>
      <c r="J80" s="101">
        <f>J71*$D$79</f>
        <v>63310197.94624234</v>
      </c>
      <c r="K80" s="101">
        <f t="shared" si="34"/>
        <v>53070483.251328655</v>
      </c>
      <c r="L80" s="101">
        <f t="shared" si="34"/>
        <v>32913693.937962852</v>
      </c>
      <c r="M80" s="101">
        <f t="shared" si="34"/>
        <v>22673979.243049171</v>
      </c>
      <c r="O80" s="182">
        <f t="shared" ref="O80:O81" si="37">E$80-J80</f>
        <v>108966339.78466168</v>
      </c>
      <c r="P80" s="182">
        <f t="shared" si="35"/>
        <v>104303340.05073535</v>
      </c>
      <c r="Q80" s="182">
        <f t="shared" si="35"/>
        <v>52014396.609781154</v>
      </c>
      <c r="R80" s="182">
        <f t="shared" si="35"/>
        <v>47351396.87585482</v>
      </c>
      <c r="T80" s="182">
        <f t="shared" si="30"/>
        <v>108949917.78466168</v>
      </c>
      <c r="U80" s="182">
        <f t="shared" si="22"/>
        <v>104291018.05073535</v>
      </c>
      <c r="V80" s="182">
        <f t="shared" si="22"/>
        <v>51999261.609781154</v>
      </c>
      <c r="W80" s="182">
        <f t="shared" si="22"/>
        <v>47340360.87585482</v>
      </c>
      <c r="Y80" s="182">
        <f t="shared" si="31"/>
        <v>108935773.78466168</v>
      </c>
      <c r="Z80" s="182">
        <f t="shared" si="23"/>
        <v>104281792.05073535</v>
      </c>
      <c r="AA80" s="182">
        <f t="shared" si="23"/>
        <v>51986660.609781154</v>
      </c>
      <c r="AB80" s="182">
        <f t="shared" si="23"/>
        <v>47332678.87585482</v>
      </c>
      <c r="AD80" s="182">
        <f t="shared" si="32"/>
        <v>107190903.93546504</v>
      </c>
      <c r="AE80" s="182">
        <f t="shared" si="24"/>
        <v>102664713.67851152</v>
      </c>
      <c r="AF80" s="182">
        <f t="shared" si="24"/>
        <v>50283155.898651712</v>
      </c>
      <c r="AG80" s="182">
        <f t="shared" si="24"/>
        <v>45756965.321698181</v>
      </c>
      <c r="AI80" s="182">
        <f t="shared" si="27"/>
        <v>108172699.80374075</v>
      </c>
      <c r="AJ80" s="182">
        <f t="shared" si="25"/>
        <v>103646509.54678723</v>
      </c>
      <c r="AK80" s="182">
        <f t="shared" si="25"/>
        <v>51264951.766927436</v>
      </c>
      <c r="AL80" s="182">
        <f t="shared" si="25"/>
        <v>46738761.189973898</v>
      </c>
    </row>
    <row r="81" spans="2:38" x14ac:dyDescent="0.3">
      <c r="B81" s="222"/>
      <c r="C81" s="180"/>
      <c r="D81" s="179" t="s">
        <v>833</v>
      </c>
      <c r="E81" s="182">
        <f>E72*$C$79</f>
        <v>3638929.6691640001</v>
      </c>
      <c r="F81" s="195">
        <f t="shared" ref="F81:H81" si="38">F72*$C$79</f>
        <v>3324145.4832240003</v>
      </c>
      <c r="G81" s="183">
        <f t="shared" si="38"/>
        <v>1793902.7131040001</v>
      </c>
      <c r="H81" s="184">
        <f t="shared" si="38"/>
        <v>1479118.5271640001</v>
      </c>
      <c r="I81" s="8" t="s">
        <v>837</v>
      </c>
      <c r="J81" s="170">
        <f>J72*$D$79</f>
        <v>62643069.51852306</v>
      </c>
      <c r="K81" s="170">
        <f t="shared" si="34"/>
        <v>52462088.209499165</v>
      </c>
      <c r="L81" s="170">
        <f t="shared" si="34"/>
        <v>32633816.036969639</v>
      </c>
      <c r="M81" s="170">
        <f t="shared" si="34"/>
        <v>22452834.727945749</v>
      </c>
      <c r="N81" s="8"/>
      <c r="O81" s="194">
        <f t="shared" si="37"/>
        <v>109633468.21238095</v>
      </c>
      <c r="P81" s="194">
        <f t="shared" si="35"/>
        <v>104911735.09256484</v>
      </c>
      <c r="Q81" s="194">
        <f t="shared" si="35"/>
        <v>52294274.510774367</v>
      </c>
      <c r="R81" s="194">
        <f t="shared" si="35"/>
        <v>47572541.39095825</v>
      </c>
      <c r="S81" s="8"/>
      <c r="T81" s="194">
        <f t="shared" si="30"/>
        <v>109617046.21238095</v>
      </c>
      <c r="U81" s="194">
        <f t="shared" si="22"/>
        <v>104899413.09256484</v>
      </c>
      <c r="V81" s="194">
        <f t="shared" si="22"/>
        <v>52279139.510774367</v>
      </c>
      <c r="W81" s="194">
        <f t="shared" si="22"/>
        <v>47561505.39095825</v>
      </c>
      <c r="X81" s="8"/>
      <c r="Y81" s="194">
        <f t="shared" si="31"/>
        <v>109602902.21238095</v>
      </c>
      <c r="Z81" s="194">
        <f t="shared" si="23"/>
        <v>104890187.09256484</v>
      </c>
      <c r="AA81" s="194">
        <f t="shared" si="23"/>
        <v>52266538.510774367</v>
      </c>
      <c r="AB81" s="194">
        <f t="shared" si="23"/>
        <v>47553823.39095825</v>
      </c>
      <c r="AC81" s="8"/>
      <c r="AD81" s="194">
        <f t="shared" si="32"/>
        <v>107858032.3631843</v>
      </c>
      <c r="AE81" s="194">
        <f t="shared" si="24"/>
        <v>103273108.720341</v>
      </c>
      <c r="AF81" s="194">
        <f t="shared" si="24"/>
        <v>50563033.799644925</v>
      </c>
      <c r="AG81" s="194">
        <f t="shared" si="24"/>
        <v>45978109.836801611</v>
      </c>
      <c r="AI81" s="194">
        <f t="shared" si="27"/>
        <v>108839828.23146002</v>
      </c>
      <c r="AJ81" s="194">
        <f t="shared" si="25"/>
        <v>104254904.58861671</v>
      </c>
      <c r="AK81" s="194">
        <f t="shared" si="25"/>
        <v>51544829.667920649</v>
      </c>
      <c r="AL81" s="194">
        <f t="shared" si="25"/>
        <v>46959905.705077328</v>
      </c>
    </row>
    <row r="82" spans="2:38" x14ac:dyDescent="0.3">
      <c r="B82" s="222"/>
      <c r="C82" s="180"/>
      <c r="D82" s="179"/>
      <c r="E82" s="182"/>
      <c r="F82" s="195"/>
      <c r="G82" s="183"/>
      <c r="H82" s="184"/>
      <c r="I82" s="145" t="s">
        <v>1004</v>
      </c>
      <c r="J82" s="208">
        <f>J69*$D$83</f>
        <v>1568844.701235075</v>
      </c>
      <c r="K82" s="208">
        <f t="shared" ref="K82:M82" si="39">K69*$D$83</f>
        <v>1324449.1285830752</v>
      </c>
      <c r="L82" s="208">
        <f t="shared" si="39"/>
        <v>802882.66560095001</v>
      </c>
      <c r="M82" s="208">
        <f t="shared" si="39"/>
        <v>558487.09294895001</v>
      </c>
      <c r="N82" s="207"/>
      <c r="O82" s="182">
        <f>E$84-J82</f>
        <v>2355088.3899749252</v>
      </c>
      <c r="P82" s="182">
        <f t="shared" ref="P82:R85" si="40">F$84-K82</f>
        <v>2260045.6672769245</v>
      </c>
      <c r="Q82" s="182">
        <f t="shared" si="40"/>
        <v>1131519.7159590502</v>
      </c>
      <c r="R82" s="182">
        <f t="shared" si="40"/>
        <v>1036476.9932610501</v>
      </c>
      <c r="S82" s="207"/>
      <c r="T82" s="182">
        <f t="shared" si="30"/>
        <v>2338666.3899749252</v>
      </c>
      <c r="U82" s="182">
        <f t="shared" si="22"/>
        <v>2247723.6672769245</v>
      </c>
      <c r="V82" s="182">
        <f t="shared" si="22"/>
        <v>1116384.7159590502</v>
      </c>
      <c r="W82" s="182">
        <f t="shared" si="22"/>
        <v>1025440.9932610501</v>
      </c>
      <c r="X82" s="207"/>
      <c r="Y82" s="182">
        <f t="shared" si="31"/>
        <v>2324522.3899749252</v>
      </c>
      <c r="Z82" s="182">
        <f t="shared" si="23"/>
        <v>2238497.6672769245</v>
      </c>
      <c r="AA82" s="182">
        <f t="shared" si="23"/>
        <v>1103783.7159590502</v>
      </c>
      <c r="AB82" s="182">
        <f t="shared" si="23"/>
        <v>1017758.9932610501</v>
      </c>
      <c r="AC82" s="207"/>
      <c r="AD82" s="195">
        <f t="shared" si="32"/>
        <v>579652.54077828373</v>
      </c>
      <c r="AE82" s="195">
        <f t="shared" si="24"/>
        <v>621419.29505308298</v>
      </c>
      <c r="AF82" s="184">
        <f t="shared" si="24"/>
        <v>-599720.99517039116</v>
      </c>
      <c r="AG82" s="184">
        <f t="shared" si="24"/>
        <v>-557954.56089559139</v>
      </c>
      <c r="AI82" s="182">
        <f t="shared" si="27"/>
        <v>1561448.4090540048</v>
      </c>
      <c r="AJ82" s="182">
        <f t="shared" si="25"/>
        <v>1603215.1633288041</v>
      </c>
      <c r="AK82" s="195">
        <f t="shared" si="25"/>
        <v>382074.87310532993</v>
      </c>
      <c r="AL82" s="195">
        <f t="shared" si="25"/>
        <v>423841.3073801297</v>
      </c>
    </row>
    <row r="83" spans="2:38" x14ac:dyDescent="0.3">
      <c r="B83" s="222" t="s">
        <v>917</v>
      </c>
      <c r="C83" s="180">
        <v>2.3630000000000001E-3</v>
      </c>
      <c r="D83" s="180">
        <v>1.0505E-2</v>
      </c>
      <c r="I83" s="221" t="s">
        <v>835</v>
      </c>
      <c r="J83" s="208">
        <f t="shared" ref="J83:M85" si="41">J70*$D$83</f>
        <v>1488649.4629840902</v>
      </c>
      <c r="K83" s="208">
        <f t="shared" si="41"/>
        <v>1251314.2068753701</v>
      </c>
      <c r="L83" s="208">
        <f t="shared" si="41"/>
        <v>769238.65641359019</v>
      </c>
      <c r="M83" s="208">
        <f t="shared" si="41"/>
        <v>531903.40030486998</v>
      </c>
      <c r="O83" s="182">
        <f>E$84-J83</f>
        <v>2435283.62822591</v>
      </c>
      <c r="P83" s="182">
        <f t="shared" si="40"/>
        <v>2333180.5889846301</v>
      </c>
      <c r="Q83" s="182">
        <f t="shared" si="40"/>
        <v>1165163.7251464101</v>
      </c>
      <c r="R83" s="182">
        <f t="shared" si="40"/>
        <v>1063060.6859051301</v>
      </c>
      <c r="T83" s="182">
        <f t="shared" si="30"/>
        <v>2418861.62822591</v>
      </c>
      <c r="U83" s="182">
        <f t="shared" si="22"/>
        <v>2320858.5889846301</v>
      </c>
      <c r="V83" s="182">
        <f t="shared" si="22"/>
        <v>1150028.7251464101</v>
      </c>
      <c r="W83" s="182">
        <f t="shared" si="22"/>
        <v>1052024.6859051301</v>
      </c>
      <c r="Y83" s="182">
        <f t="shared" si="31"/>
        <v>2404717.62822591</v>
      </c>
      <c r="Z83" s="182">
        <f t="shared" si="23"/>
        <v>2311632.5889846301</v>
      </c>
      <c r="AA83" s="182">
        <f t="shared" si="23"/>
        <v>1137427.7251464101</v>
      </c>
      <c r="AB83" s="182">
        <f t="shared" si="23"/>
        <v>1044342.6859051301</v>
      </c>
      <c r="AD83" s="195">
        <f t="shared" si="32"/>
        <v>659847.77902926854</v>
      </c>
      <c r="AE83" s="195">
        <f t="shared" si="24"/>
        <v>694554.21676078858</v>
      </c>
      <c r="AF83" s="184">
        <f t="shared" si="24"/>
        <v>-566076.98598303134</v>
      </c>
      <c r="AG83" s="184">
        <f t="shared" si="24"/>
        <v>-531370.86825151136</v>
      </c>
      <c r="AI83" s="182">
        <f t="shared" si="27"/>
        <v>1641643.6473049896</v>
      </c>
      <c r="AJ83" s="182">
        <f t="shared" si="25"/>
        <v>1676350.0850365097</v>
      </c>
      <c r="AK83" s="195">
        <f t="shared" si="25"/>
        <v>415718.88229268976</v>
      </c>
      <c r="AL83" s="195">
        <f t="shared" si="25"/>
        <v>450425.00002420973</v>
      </c>
    </row>
    <row r="84" spans="2:38" x14ac:dyDescent="0.3">
      <c r="B84" s="222"/>
      <c r="C84" s="180"/>
      <c r="D84" s="179" t="s">
        <v>832</v>
      </c>
      <c r="E84" s="182">
        <f>E72*$D$83</f>
        <v>3923933.0912100002</v>
      </c>
      <c r="F84" s="195">
        <f t="shared" ref="F84:H84" si="42">F72*$D$83</f>
        <v>3584494.79586</v>
      </c>
      <c r="G84" s="183">
        <f t="shared" si="42"/>
        <v>1934402.3815600001</v>
      </c>
      <c r="H84" s="184">
        <f t="shared" si="42"/>
        <v>1594964.0862100001</v>
      </c>
      <c r="I84" s="221" t="s">
        <v>836</v>
      </c>
      <c r="J84" s="208">
        <f t="shared" si="41"/>
        <v>1442012.8475089022</v>
      </c>
      <c r="K84" s="208">
        <f t="shared" si="41"/>
        <v>1208783.4370207356</v>
      </c>
      <c r="L84" s="208">
        <f t="shared" si="41"/>
        <v>749673.37107078696</v>
      </c>
      <c r="M84" s="208">
        <f t="shared" si="41"/>
        <v>516443.96058262046</v>
      </c>
      <c r="O84" s="182">
        <f t="shared" ref="O84:O85" si="43">E$84-J84</f>
        <v>2481920.243701098</v>
      </c>
      <c r="P84" s="182">
        <f t="shared" si="40"/>
        <v>2375711.3588392641</v>
      </c>
      <c r="Q84" s="182">
        <f t="shared" si="40"/>
        <v>1184729.0104892133</v>
      </c>
      <c r="R84" s="182">
        <f t="shared" si="40"/>
        <v>1078520.1256273796</v>
      </c>
      <c r="T84" s="182">
        <f t="shared" si="30"/>
        <v>2465498.243701098</v>
      </c>
      <c r="U84" s="182">
        <f t="shared" si="22"/>
        <v>2363389.3588392641</v>
      </c>
      <c r="V84" s="182">
        <f t="shared" si="22"/>
        <v>1169594.0104892133</v>
      </c>
      <c r="W84" s="182">
        <f t="shared" si="22"/>
        <v>1067484.1256273796</v>
      </c>
      <c r="Y84" s="182">
        <f t="shared" si="31"/>
        <v>2451354.243701098</v>
      </c>
      <c r="Z84" s="182">
        <f t="shared" si="23"/>
        <v>2354163.3588392641</v>
      </c>
      <c r="AA84" s="182">
        <f t="shared" si="23"/>
        <v>1156993.0104892133</v>
      </c>
      <c r="AB84" s="182">
        <f t="shared" si="23"/>
        <v>1059802.1256273796</v>
      </c>
      <c r="AD84" s="195">
        <f t="shared" si="32"/>
        <v>706484.39450445655</v>
      </c>
      <c r="AE84" s="195">
        <f t="shared" si="24"/>
        <v>737084.98661542265</v>
      </c>
      <c r="AF84" s="184">
        <f t="shared" si="24"/>
        <v>-546511.70064022811</v>
      </c>
      <c r="AG84" s="184">
        <f t="shared" si="24"/>
        <v>-515911.42852926184</v>
      </c>
      <c r="AI84" s="182">
        <f t="shared" si="27"/>
        <v>1688280.2627801776</v>
      </c>
      <c r="AJ84" s="182">
        <f t="shared" si="25"/>
        <v>1718880.8548911437</v>
      </c>
      <c r="AK84" s="195">
        <f t="shared" si="25"/>
        <v>435284.16763549298</v>
      </c>
      <c r="AL84" s="195">
        <f t="shared" si="25"/>
        <v>465884.43974645925</v>
      </c>
    </row>
    <row r="85" spans="2:38" x14ac:dyDescent="0.3">
      <c r="B85" s="222"/>
      <c r="C85" s="180"/>
      <c r="D85" s="179" t="s">
        <v>833</v>
      </c>
      <c r="E85" s="182">
        <f>E72*$C$83</f>
        <v>882651.48924600007</v>
      </c>
      <c r="F85" s="195">
        <f t="shared" ref="F85:H85" si="44">F72*$C$83</f>
        <v>806298.067836</v>
      </c>
      <c r="G85" s="183">
        <f t="shared" si="44"/>
        <v>435125.44765600003</v>
      </c>
      <c r="H85" s="184">
        <f t="shared" si="44"/>
        <v>358772.02624600002</v>
      </c>
      <c r="I85" s="8" t="s">
        <v>837</v>
      </c>
      <c r="J85" s="170">
        <f t="shared" si="41"/>
        <v>1426817.7005196847</v>
      </c>
      <c r="K85" s="170">
        <f t="shared" si="41"/>
        <v>1194926.057086088</v>
      </c>
      <c r="L85" s="170">
        <f t="shared" si="41"/>
        <v>743298.60772999423</v>
      </c>
      <c r="M85" s="170">
        <f t="shared" si="41"/>
        <v>511406.96429639752</v>
      </c>
      <c r="N85" s="8"/>
      <c r="O85" s="194">
        <f t="shared" si="43"/>
        <v>2497115.3906903155</v>
      </c>
      <c r="P85" s="194">
        <f t="shared" si="40"/>
        <v>2389568.7387739122</v>
      </c>
      <c r="Q85" s="194">
        <f t="shared" si="40"/>
        <v>1191103.7738300059</v>
      </c>
      <c r="R85" s="194">
        <f t="shared" si="40"/>
        <v>1083557.1219136026</v>
      </c>
      <c r="S85" s="8"/>
      <c r="T85" s="194">
        <f t="shared" si="30"/>
        <v>2480693.3906903155</v>
      </c>
      <c r="U85" s="194">
        <f t="shared" si="22"/>
        <v>2377246.7387739122</v>
      </c>
      <c r="V85" s="194">
        <f t="shared" si="22"/>
        <v>1175968.7738300059</v>
      </c>
      <c r="W85" s="194">
        <f t="shared" si="22"/>
        <v>1072521.1219136026</v>
      </c>
      <c r="X85" s="8"/>
      <c r="Y85" s="194">
        <f t="shared" si="31"/>
        <v>2466549.3906903155</v>
      </c>
      <c r="Z85" s="194">
        <f t="shared" si="23"/>
        <v>2368020.7387739122</v>
      </c>
      <c r="AA85" s="194">
        <f t="shared" si="23"/>
        <v>1163367.7738300059</v>
      </c>
      <c r="AB85" s="194">
        <f t="shared" si="23"/>
        <v>1064839.1219136026</v>
      </c>
      <c r="AC85" s="8"/>
      <c r="AD85" s="196">
        <f t="shared" si="32"/>
        <v>721679.54149367404</v>
      </c>
      <c r="AE85" s="196">
        <f t="shared" si="24"/>
        <v>750942.3665500707</v>
      </c>
      <c r="AF85" s="197">
        <f t="shared" si="24"/>
        <v>-540136.93729943549</v>
      </c>
      <c r="AG85" s="197">
        <f t="shared" si="24"/>
        <v>-510874.4322430389</v>
      </c>
      <c r="AI85" s="194">
        <f t="shared" si="27"/>
        <v>1703475.4097693951</v>
      </c>
      <c r="AJ85" s="194">
        <f t="shared" si="25"/>
        <v>1732738.2348257918</v>
      </c>
      <c r="AK85" s="196">
        <f t="shared" si="25"/>
        <v>441658.9309762856</v>
      </c>
      <c r="AL85" s="196">
        <f t="shared" si="25"/>
        <v>470921.43603268219</v>
      </c>
    </row>
    <row r="86" spans="2:38" x14ac:dyDescent="0.3">
      <c r="B86" s="222"/>
      <c r="C86" s="180"/>
      <c r="D86" s="179"/>
      <c r="E86" s="182"/>
      <c r="F86" s="195"/>
      <c r="G86" s="183"/>
      <c r="H86" s="184"/>
      <c r="I86" s="145" t="s">
        <v>1004</v>
      </c>
      <c r="J86" s="208">
        <f>J69*$D$87</f>
        <v>514634.82536468992</v>
      </c>
      <c r="K86" s="208">
        <f t="shared" ref="K86:M89" si="45">K69*$D$87</f>
        <v>434464.70224628999</v>
      </c>
      <c r="L86" s="208">
        <f t="shared" si="45"/>
        <v>263373.02862073999</v>
      </c>
      <c r="M86" s="208">
        <f t="shared" si="45"/>
        <v>183202.90550234</v>
      </c>
      <c r="N86" s="207"/>
      <c r="O86" s="195">
        <f>E$88-J86</f>
        <v>772549.69936731004</v>
      </c>
      <c r="P86" s="195">
        <f t="shared" ref="P86:R89" si="46">F$88-K86</f>
        <v>741372.42926571006</v>
      </c>
      <c r="Q86" s="195">
        <f t="shared" si="46"/>
        <v>371177.24333125999</v>
      </c>
      <c r="R86" s="195">
        <f t="shared" si="46"/>
        <v>339999.97322965995</v>
      </c>
      <c r="S86" s="207"/>
      <c r="T86" s="195">
        <f t="shared" si="30"/>
        <v>756127.69936731004</v>
      </c>
      <c r="U86" s="195">
        <f t="shared" si="22"/>
        <v>729050.42926571006</v>
      </c>
      <c r="V86" s="195">
        <f t="shared" si="22"/>
        <v>356042.24333125999</v>
      </c>
      <c r="W86" s="195">
        <f t="shared" si="22"/>
        <v>328963.97322965995</v>
      </c>
      <c r="X86" s="207"/>
      <c r="Y86" s="195">
        <f t="shared" si="31"/>
        <v>741983.69936731004</v>
      </c>
      <c r="Z86" s="195">
        <f t="shared" si="23"/>
        <v>719824.42926571006</v>
      </c>
      <c r="AA86" s="195">
        <f t="shared" si="23"/>
        <v>343441.24333125999</v>
      </c>
      <c r="AB86" s="195">
        <f t="shared" si="23"/>
        <v>321281.97322965995</v>
      </c>
      <c r="AC86" s="207"/>
      <c r="AD86" s="184">
        <f t="shared" si="32"/>
        <v>-1002886.1498293314</v>
      </c>
      <c r="AE86" s="184">
        <f t="shared" si="24"/>
        <v>-897253.94295813143</v>
      </c>
      <c r="AF86" s="184">
        <f t="shared" si="24"/>
        <v>-1360063.4677981813</v>
      </c>
      <c r="AG86" s="184">
        <f t="shared" si="24"/>
        <v>-1254431.5809269815</v>
      </c>
      <c r="AI86" s="183">
        <f t="shared" si="27"/>
        <v>-21090.281553610344</v>
      </c>
      <c r="AJ86" s="195">
        <f t="shared" si="25"/>
        <v>84541.925317589659</v>
      </c>
      <c r="AK86" s="184">
        <f t="shared" si="25"/>
        <v>-378267.59952246031</v>
      </c>
      <c r="AL86" s="184">
        <f t="shared" si="25"/>
        <v>-272635.71265126043</v>
      </c>
    </row>
    <row r="87" spans="2:38" x14ac:dyDescent="0.3">
      <c r="B87" s="222" t="s">
        <v>918</v>
      </c>
      <c r="C87" s="180">
        <v>3.0200000000000002E-4</v>
      </c>
      <c r="D87" s="180">
        <v>3.4459999999999998E-3</v>
      </c>
      <c r="I87" s="221" t="s">
        <v>835</v>
      </c>
      <c r="J87" s="101">
        <f>J70*$D$87</f>
        <v>488328.03897602798</v>
      </c>
      <c r="K87" s="101">
        <f t="shared" si="45"/>
        <v>410473.94163660397</v>
      </c>
      <c r="L87" s="101">
        <f t="shared" si="45"/>
        <v>252336.64064742802</v>
      </c>
      <c r="M87" s="101">
        <f t="shared" si="45"/>
        <v>174482.54330800401</v>
      </c>
      <c r="O87" s="195">
        <f>E$88-J87</f>
        <v>798856.48575597198</v>
      </c>
      <c r="P87" s="195">
        <f t="shared" si="46"/>
        <v>765363.18987539597</v>
      </c>
      <c r="Q87" s="195">
        <f t="shared" si="46"/>
        <v>382213.63130457199</v>
      </c>
      <c r="R87" s="195">
        <f t="shared" si="46"/>
        <v>348720.33542399597</v>
      </c>
      <c r="T87" s="195">
        <f t="shared" si="30"/>
        <v>782434.48575597198</v>
      </c>
      <c r="U87" s="195">
        <f t="shared" si="22"/>
        <v>753041.18987539597</v>
      </c>
      <c r="V87" s="195">
        <f t="shared" si="22"/>
        <v>367078.63130457199</v>
      </c>
      <c r="W87" s="195">
        <f t="shared" si="22"/>
        <v>337684.33542399597</v>
      </c>
      <c r="Y87" s="195">
        <f t="shared" si="31"/>
        <v>768290.48575597198</v>
      </c>
      <c r="Z87" s="195">
        <f t="shared" si="23"/>
        <v>743815.18987539597</v>
      </c>
      <c r="AA87" s="195">
        <f t="shared" si="23"/>
        <v>354477.63130457199</v>
      </c>
      <c r="AB87" s="195">
        <f t="shared" si="23"/>
        <v>330002.33542399597</v>
      </c>
      <c r="AD87" s="184">
        <f t="shared" si="32"/>
        <v>-976579.36344066949</v>
      </c>
      <c r="AE87" s="184">
        <f t="shared" si="24"/>
        <v>-873263.18234844552</v>
      </c>
      <c r="AF87" s="184">
        <f t="shared" si="24"/>
        <v>-1349027.0798248695</v>
      </c>
      <c r="AG87" s="184">
        <f t="shared" si="24"/>
        <v>-1245711.2187326455</v>
      </c>
      <c r="AI87" s="183">
        <f t="shared" si="27"/>
        <v>5216.5048350516008</v>
      </c>
      <c r="AJ87" s="195">
        <f t="shared" si="25"/>
        <v>108532.68592727557</v>
      </c>
      <c r="AK87" s="184">
        <f t="shared" si="25"/>
        <v>-367231.21154914831</v>
      </c>
      <c r="AL87" s="184">
        <f t="shared" si="25"/>
        <v>-263915.35045692441</v>
      </c>
    </row>
    <row r="88" spans="2:38" x14ac:dyDescent="0.3">
      <c r="B88" s="222"/>
      <c r="C88" s="180"/>
      <c r="D88" s="179" t="s">
        <v>832</v>
      </c>
      <c r="E88" s="182">
        <f>E72*$D$87</f>
        <v>1287184.524732</v>
      </c>
      <c r="F88" s="195">
        <f t="shared" ref="F88:H88" si="47">F72*$D$87</f>
        <v>1175837.131512</v>
      </c>
      <c r="G88" s="183">
        <f t="shared" si="47"/>
        <v>634550.27195199998</v>
      </c>
      <c r="H88" s="184">
        <f t="shared" si="47"/>
        <v>523202.87873199995</v>
      </c>
      <c r="I88" s="221" t="s">
        <v>836</v>
      </c>
      <c r="J88" s="101">
        <f>J71*$D$87</f>
        <v>473029.63089154463</v>
      </c>
      <c r="K88" s="101">
        <f t="shared" si="45"/>
        <v>396522.39162050973</v>
      </c>
      <c r="L88" s="101">
        <f t="shared" si="45"/>
        <v>245918.55656448659</v>
      </c>
      <c r="M88" s="101">
        <f t="shared" si="45"/>
        <v>169411.31729345169</v>
      </c>
      <c r="O88" s="195">
        <f t="shared" ref="O88:O89" si="48">E$88-J88</f>
        <v>814154.89384045533</v>
      </c>
      <c r="P88" s="195">
        <f t="shared" si="46"/>
        <v>779314.7398914902</v>
      </c>
      <c r="Q88" s="195">
        <f t="shared" si="46"/>
        <v>388631.7153875134</v>
      </c>
      <c r="R88" s="195">
        <f t="shared" si="46"/>
        <v>353791.56143854826</v>
      </c>
      <c r="T88" s="195">
        <f t="shared" si="30"/>
        <v>797732.89384045533</v>
      </c>
      <c r="U88" s="195">
        <f t="shared" si="22"/>
        <v>766992.7398914902</v>
      </c>
      <c r="V88" s="195">
        <f t="shared" si="22"/>
        <v>373496.7153875134</v>
      </c>
      <c r="W88" s="195">
        <f t="shared" si="22"/>
        <v>342755.56143854826</v>
      </c>
      <c r="Y88" s="195">
        <f t="shared" si="31"/>
        <v>783588.89384045533</v>
      </c>
      <c r="Z88" s="195">
        <f t="shared" si="23"/>
        <v>757766.7398914902</v>
      </c>
      <c r="AA88" s="195">
        <f t="shared" si="23"/>
        <v>360895.7153875134</v>
      </c>
      <c r="AB88" s="195">
        <f t="shared" si="23"/>
        <v>335073.56143854826</v>
      </c>
      <c r="AD88" s="184">
        <f t="shared" si="32"/>
        <v>-961280.95535618614</v>
      </c>
      <c r="AE88" s="184">
        <f t="shared" si="24"/>
        <v>-859311.63233235129</v>
      </c>
      <c r="AF88" s="184">
        <f t="shared" si="24"/>
        <v>-1342608.995741928</v>
      </c>
      <c r="AG88" s="184">
        <f t="shared" si="24"/>
        <v>-1240639.9927180931</v>
      </c>
      <c r="AI88" s="183">
        <f t="shared" si="27"/>
        <v>20514.912919534952</v>
      </c>
      <c r="AJ88" s="195">
        <f t="shared" si="25"/>
        <v>122484.2359433698</v>
      </c>
      <c r="AK88" s="184">
        <f t="shared" si="25"/>
        <v>-360813.1274662069</v>
      </c>
      <c r="AL88" s="184">
        <f t="shared" si="25"/>
        <v>-258844.12444237212</v>
      </c>
    </row>
    <row r="89" spans="2:38" x14ac:dyDescent="0.3">
      <c r="B89" s="222"/>
      <c r="C89" s="180"/>
      <c r="D89" s="179" t="s">
        <v>833</v>
      </c>
      <c r="E89" s="195">
        <f>E72*$C$87</f>
        <v>112806.07268400001</v>
      </c>
      <c r="F89" s="183">
        <f t="shared" ref="F89:H89" si="49">F72*$C$87</f>
        <v>103047.82754400001</v>
      </c>
      <c r="G89" s="184">
        <f t="shared" si="49"/>
        <v>55610.615824000008</v>
      </c>
      <c r="H89" s="184">
        <f t="shared" si="49"/>
        <v>45852.370684000001</v>
      </c>
      <c r="I89" s="8" t="s">
        <v>837</v>
      </c>
      <c r="J89" s="170">
        <f>J72*$D$87</f>
        <v>468045.10195057903</v>
      </c>
      <c r="K89" s="170">
        <f t="shared" si="45"/>
        <v>391976.69611791131</v>
      </c>
      <c r="L89" s="170">
        <f t="shared" si="45"/>
        <v>243827.41572942026</v>
      </c>
      <c r="M89" s="170">
        <f t="shared" si="45"/>
        <v>167759.00989675257</v>
      </c>
      <c r="N89" s="8"/>
      <c r="O89" s="196">
        <f t="shared" si="48"/>
        <v>819139.42278142087</v>
      </c>
      <c r="P89" s="196">
        <f t="shared" si="46"/>
        <v>783860.43539408874</v>
      </c>
      <c r="Q89" s="196">
        <f t="shared" si="46"/>
        <v>390722.85622257972</v>
      </c>
      <c r="R89" s="196">
        <f t="shared" si="46"/>
        <v>355443.86883524735</v>
      </c>
      <c r="S89" s="8"/>
      <c r="T89" s="196">
        <f t="shared" si="30"/>
        <v>802717.42278142087</v>
      </c>
      <c r="U89" s="196">
        <f t="shared" si="22"/>
        <v>771538.43539408874</v>
      </c>
      <c r="V89" s="196">
        <f t="shared" si="22"/>
        <v>375587.85622257972</v>
      </c>
      <c r="W89" s="196">
        <f t="shared" si="22"/>
        <v>344407.86883524735</v>
      </c>
      <c r="X89" s="8"/>
      <c r="Y89" s="196">
        <f t="shared" si="31"/>
        <v>788573.42278142087</v>
      </c>
      <c r="Z89" s="196">
        <f t="shared" si="23"/>
        <v>762312.43539408874</v>
      </c>
      <c r="AA89" s="196">
        <f t="shared" si="23"/>
        <v>362986.85622257972</v>
      </c>
      <c r="AB89" s="196">
        <f t="shared" si="23"/>
        <v>336725.86883524735</v>
      </c>
      <c r="AC89" s="8"/>
      <c r="AD89" s="197">
        <f t="shared" si="32"/>
        <v>-956296.4264152206</v>
      </c>
      <c r="AE89" s="197">
        <f t="shared" si="24"/>
        <v>-854765.93682975275</v>
      </c>
      <c r="AF89" s="197">
        <f t="shared" si="24"/>
        <v>-1340517.8549068617</v>
      </c>
      <c r="AG89" s="197">
        <f t="shared" si="24"/>
        <v>-1238987.6853213941</v>
      </c>
      <c r="AI89" s="193">
        <f t="shared" si="27"/>
        <v>25499.44186050049</v>
      </c>
      <c r="AJ89" s="196">
        <f t="shared" si="25"/>
        <v>127029.93144596834</v>
      </c>
      <c r="AK89" s="197">
        <f t="shared" si="25"/>
        <v>-358721.98663114058</v>
      </c>
      <c r="AL89" s="197">
        <f t="shared" si="25"/>
        <v>-257191.81704567303</v>
      </c>
    </row>
    <row r="90" spans="2:38" x14ac:dyDescent="0.3">
      <c r="B90" s="222"/>
      <c r="C90" s="180"/>
      <c r="D90" s="179"/>
      <c r="E90" s="195"/>
      <c r="F90" s="183"/>
      <c r="G90" s="184"/>
      <c r="H90" s="184"/>
      <c r="I90" s="145" t="s">
        <v>1004</v>
      </c>
      <c r="J90" s="208">
        <f>J69*$D$91</f>
        <v>78106.214064344997</v>
      </c>
      <c r="K90" s="208">
        <f t="shared" ref="K90:M93" si="50">K69*$D$91</f>
        <v>65938.780985145015</v>
      </c>
      <c r="L90" s="208">
        <f t="shared" si="50"/>
        <v>39972.168882370002</v>
      </c>
      <c r="M90" s="208">
        <f t="shared" si="50"/>
        <v>27804.735803170002</v>
      </c>
      <c r="N90" s="207"/>
      <c r="O90" s="195">
        <f>E$92-J90</f>
        <v>117249.99790165501</v>
      </c>
      <c r="P90" s="195">
        <f t="shared" ref="P90:R93" si="51">F$92-K90</f>
        <v>112518.218370855</v>
      </c>
      <c r="Q90" s="183">
        <f t="shared" si="51"/>
        <v>56333.632693629996</v>
      </c>
      <c r="R90" s="183">
        <f t="shared" si="51"/>
        <v>51601.853162830012</v>
      </c>
      <c r="S90" s="207"/>
      <c r="T90" s="195">
        <f t="shared" si="30"/>
        <v>100827.99790165501</v>
      </c>
      <c r="U90" s="195">
        <f t="shared" si="30"/>
        <v>100196.218370855</v>
      </c>
      <c r="V90" s="183">
        <f t="shared" si="30"/>
        <v>41198.632693629996</v>
      </c>
      <c r="W90" s="183">
        <f t="shared" si="30"/>
        <v>40565.853162830012</v>
      </c>
      <c r="X90" s="207"/>
      <c r="Y90" s="183">
        <f t="shared" si="31"/>
        <v>86683.997901655006</v>
      </c>
      <c r="Z90" s="183">
        <f t="shared" si="31"/>
        <v>90970.218370855</v>
      </c>
      <c r="AA90" s="183">
        <f t="shared" si="31"/>
        <v>28597.632693629996</v>
      </c>
      <c r="AB90" s="183">
        <f t="shared" si="31"/>
        <v>32883.853162830012</v>
      </c>
      <c r="AC90" s="207"/>
      <c r="AD90" s="184">
        <f t="shared" si="32"/>
        <v>-1658185.8512949864</v>
      </c>
      <c r="AE90" s="184">
        <f t="shared" si="32"/>
        <v>-1526108.1538529864</v>
      </c>
      <c r="AF90" s="184">
        <f t="shared" si="32"/>
        <v>-1674907.0784358114</v>
      </c>
      <c r="AG90" s="184">
        <f t="shared" si="32"/>
        <v>-1542829.7009938115</v>
      </c>
      <c r="AI90" s="184">
        <f t="shared" si="27"/>
        <v>-676389.98301926535</v>
      </c>
      <c r="AJ90" s="184">
        <f t="shared" si="27"/>
        <v>-544312.28557726543</v>
      </c>
      <c r="AK90" s="184">
        <f t="shared" si="27"/>
        <v>-693111.21016009036</v>
      </c>
      <c r="AL90" s="184">
        <f t="shared" si="27"/>
        <v>-561033.83271809039</v>
      </c>
    </row>
    <row r="91" spans="2:38" x14ac:dyDescent="0.3">
      <c r="B91" s="222" t="s">
        <v>919</v>
      </c>
      <c r="C91" s="180">
        <v>2.1999999999999999E-5</v>
      </c>
      <c r="D91" s="180">
        <v>5.2300000000000003E-4</v>
      </c>
      <c r="I91" s="221" t="s">
        <v>835</v>
      </c>
      <c r="J91" s="101">
        <f>J70*$D$91</f>
        <v>74113.628666414006</v>
      </c>
      <c r="K91" s="101">
        <f t="shared" si="50"/>
        <v>62297.699209502003</v>
      </c>
      <c r="L91" s="101">
        <f t="shared" si="50"/>
        <v>38297.174422114011</v>
      </c>
      <c r="M91" s="101">
        <f t="shared" si="50"/>
        <v>26481.244965202</v>
      </c>
      <c r="O91" s="195">
        <f>E$92-J91</f>
        <v>121242.583299586</v>
      </c>
      <c r="P91" s="195">
        <f t="shared" si="51"/>
        <v>116159.30014649802</v>
      </c>
      <c r="Q91" s="183">
        <f t="shared" si="51"/>
        <v>58008.627153885987</v>
      </c>
      <c r="R91" s="183">
        <f t="shared" si="51"/>
        <v>52925.34400079801</v>
      </c>
      <c r="T91" s="195">
        <f t="shared" si="30"/>
        <v>104820.583299586</v>
      </c>
      <c r="U91" s="195">
        <f t="shared" si="30"/>
        <v>103837.30014649802</v>
      </c>
      <c r="V91" s="183">
        <f t="shared" si="30"/>
        <v>42873.627153885987</v>
      </c>
      <c r="W91" s="183">
        <f t="shared" si="30"/>
        <v>41889.34400079801</v>
      </c>
      <c r="Y91" s="183">
        <f t="shared" si="31"/>
        <v>90676.583299585996</v>
      </c>
      <c r="Z91" s="183">
        <f t="shared" si="31"/>
        <v>94611.300146498019</v>
      </c>
      <c r="AA91" s="183">
        <f t="shared" si="31"/>
        <v>30272.627153885987</v>
      </c>
      <c r="AB91" s="183">
        <f t="shared" si="31"/>
        <v>34207.34400079801</v>
      </c>
      <c r="AD91" s="184">
        <f t="shared" si="32"/>
        <v>-1654193.2658970554</v>
      </c>
      <c r="AE91" s="184">
        <f t="shared" si="32"/>
        <v>-1522467.0720773435</v>
      </c>
      <c r="AF91" s="184">
        <f t="shared" si="32"/>
        <v>-1673232.0839755554</v>
      </c>
      <c r="AG91" s="184">
        <f t="shared" si="32"/>
        <v>-1541506.2101558435</v>
      </c>
      <c r="AI91" s="184">
        <f t="shared" si="27"/>
        <v>-672397.39762133441</v>
      </c>
      <c r="AJ91" s="184">
        <f t="shared" si="27"/>
        <v>-540671.20380162238</v>
      </c>
      <c r="AK91" s="184">
        <f t="shared" si="27"/>
        <v>-691436.21569983428</v>
      </c>
      <c r="AL91" s="184">
        <f t="shared" si="27"/>
        <v>-559710.34188012243</v>
      </c>
    </row>
    <row r="92" spans="2:38" x14ac:dyDescent="0.3">
      <c r="B92" s="222"/>
      <c r="C92" s="180"/>
      <c r="D92" s="179" t="s">
        <v>832</v>
      </c>
      <c r="E92" s="182">
        <f>E72*$D$91</f>
        <v>195356.211966</v>
      </c>
      <c r="F92" s="183">
        <f t="shared" ref="F92:H92" si="52">F72*$D$91</f>
        <v>178456.99935600001</v>
      </c>
      <c r="G92" s="184">
        <f t="shared" si="52"/>
        <v>96305.801575999998</v>
      </c>
      <c r="H92" s="184">
        <f t="shared" si="52"/>
        <v>79406.58896600001</v>
      </c>
      <c r="I92" s="221" t="s">
        <v>836</v>
      </c>
      <c r="J92" s="101">
        <f>J71*$D$91</f>
        <v>71791.786696540294</v>
      </c>
      <c r="K92" s="101">
        <f t="shared" si="50"/>
        <v>60180.27011535885</v>
      </c>
      <c r="L92" s="101">
        <f t="shared" si="50"/>
        <v>37323.100720611284</v>
      </c>
      <c r="M92" s="101">
        <f t="shared" si="50"/>
        <v>25711.58413942984</v>
      </c>
      <c r="O92" s="195">
        <f t="shared" ref="O92:O93" si="53">E$92-J92</f>
        <v>123564.42526945971</v>
      </c>
      <c r="P92" s="195">
        <f t="shared" si="51"/>
        <v>118276.72924064117</v>
      </c>
      <c r="Q92" s="183">
        <f t="shared" si="51"/>
        <v>58982.700855388714</v>
      </c>
      <c r="R92" s="183">
        <f t="shared" si="51"/>
        <v>53695.00482657017</v>
      </c>
      <c r="T92" s="195">
        <f t="shared" si="30"/>
        <v>107142.42526945971</v>
      </c>
      <c r="U92" s="195">
        <f t="shared" si="30"/>
        <v>105954.72924064117</v>
      </c>
      <c r="V92" s="183">
        <f t="shared" si="30"/>
        <v>43847.700855388714</v>
      </c>
      <c r="W92" s="183">
        <f t="shared" si="30"/>
        <v>42659.00482657017</v>
      </c>
      <c r="Y92" s="183">
        <f t="shared" si="31"/>
        <v>92998.425269459709</v>
      </c>
      <c r="Z92" s="183">
        <f t="shared" si="31"/>
        <v>96728.729240641173</v>
      </c>
      <c r="AA92" s="183">
        <f t="shared" si="31"/>
        <v>31246.700855388714</v>
      </c>
      <c r="AB92" s="183">
        <f t="shared" si="31"/>
        <v>34977.00482657017</v>
      </c>
      <c r="AD92" s="184">
        <f t="shared" si="32"/>
        <v>-1651871.4239271819</v>
      </c>
      <c r="AE92" s="184">
        <f t="shared" si="32"/>
        <v>-1520349.6429832003</v>
      </c>
      <c r="AF92" s="184">
        <f t="shared" si="32"/>
        <v>-1672258.0102740526</v>
      </c>
      <c r="AG92" s="184">
        <f t="shared" si="32"/>
        <v>-1540736.5493300713</v>
      </c>
      <c r="AI92" s="184">
        <f t="shared" si="27"/>
        <v>-670075.55565146066</v>
      </c>
      <c r="AJ92" s="184">
        <f t="shared" si="27"/>
        <v>-538553.77470747917</v>
      </c>
      <c r="AK92" s="184">
        <f t="shared" si="27"/>
        <v>-690462.14199833153</v>
      </c>
      <c r="AL92" s="184">
        <f t="shared" si="27"/>
        <v>-558940.68105435022</v>
      </c>
    </row>
    <row r="93" spans="2:38" x14ac:dyDescent="0.3">
      <c r="B93" s="222"/>
      <c r="C93" s="180"/>
      <c r="D93" s="179" t="s">
        <v>833</v>
      </c>
      <c r="E93" s="183">
        <f>E72*$C$91</f>
        <v>8217.6609239999998</v>
      </c>
      <c r="F93" s="184">
        <f t="shared" ref="F93:H93" si="54">F72*$C$91</f>
        <v>7506.795384</v>
      </c>
      <c r="G93" s="184">
        <f t="shared" si="54"/>
        <v>4051.104464</v>
      </c>
      <c r="H93" s="184">
        <f t="shared" si="54"/>
        <v>3340.2389239999998</v>
      </c>
      <c r="I93" s="8" t="s">
        <v>837</v>
      </c>
      <c r="J93" s="170">
        <f>J72*$D$91</f>
        <v>71035.283900218477</v>
      </c>
      <c r="K93" s="170">
        <f t="shared" si="50"/>
        <v>59490.36914383855</v>
      </c>
      <c r="L93" s="170">
        <f t="shared" si="50"/>
        <v>37005.727924111088</v>
      </c>
      <c r="M93" s="170">
        <f t="shared" si="50"/>
        <v>25460.813167731169</v>
      </c>
      <c r="N93" s="8"/>
      <c r="O93" s="196">
        <f t="shared" si="53"/>
        <v>124320.92806578153</v>
      </c>
      <c r="P93" s="196">
        <f t="shared" si="51"/>
        <v>118966.63021216146</v>
      </c>
      <c r="Q93" s="193">
        <f t="shared" si="51"/>
        <v>59300.07365188891</v>
      </c>
      <c r="R93" s="193">
        <f t="shared" si="51"/>
        <v>53945.775798268842</v>
      </c>
      <c r="S93" s="8"/>
      <c r="T93" s="196">
        <f t="shared" si="30"/>
        <v>107898.92806578153</v>
      </c>
      <c r="U93" s="196">
        <f t="shared" si="30"/>
        <v>106644.63021216146</v>
      </c>
      <c r="V93" s="193">
        <f t="shared" si="30"/>
        <v>44165.07365188891</v>
      </c>
      <c r="W93" s="193">
        <f t="shared" si="30"/>
        <v>42909.775798268842</v>
      </c>
      <c r="X93" s="8"/>
      <c r="Y93" s="193">
        <f t="shared" si="31"/>
        <v>93754.928065781525</v>
      </c>
      <c r="Z93" s="193">
        <f t="shared" si="31"/>
        <v>97418.630212161457</v>
      </c>
      <c r="AA93" s="193">
        <f t="shared" si="31"/>
        <v>31564.07365188891</v>
      </c>
      <c r="AB93" s="193">
        <f t="shared" si="31"/>
        <v>35227.775798268842</v>
      </c>
      <c r="AC93" s="8"/>
      <c r="AD93" s="197">
        <f t="shared" si="32"/>
        <v>-1651114.92113086</v>
      </c>
      <c r="AE93" s="197">
        <f t="shared" si="32"/>
        <v>-1519659.74201168</v>
      </c>
      <c r="AF93" s="197">
        <f t="shared" si="32"/>
        <v>-1671940.6374775525</v>
      </c>
      <c r="AG93" s="197">
        <f t="shared" si="32"/>
        <v>-1540485.7783583726</v>
      </c>
      <c r="AI93" s="197">
        <f t="shared" si="27"/>
        <v>-669319.0528551389</v>
      </c>
      <c r="AJ93" s="197">
        <f t="shared" si="27"/>
        <v>-537863.87373595894</v>
      </c>
      <c r="AK93" s="197">
        <f t="shared" si="27"/>
        <v>-690144.76920183143</v>
      </c>
      <c r="AL93" s="197">
        <f t="shared" si="27"/>
        <v>-558689.91008265154</v>
      </c>
    </row>
    <row r="94" spans="2:38" x14ac:dyDescent="0.3">
      <c r="B94" s="222"/>
      <c r="C94" s="180"/>
      <c r="D94" s="179"/>
      <c r="E94" s="183"/>
      <c r="F94" s="184"/>
      <c r="G94" s="184"/>
      <c r="H94" s="184"/>
      <c r="I94" s="145" t="s">
        <v>1004</v>
      </c>
      <c r="J94" s="208">
        <f>J69*$D$95</f>
        <v>448.02799654499995</v>
      </c>
      <c r="K94" s="208">
        <f t="shared" ref="K94:M97" si="55">K69*$D$95</f>
        <v>378.23392534500005</v>
      </c>
      <c r="L94" s="208">
        <f t="shared" si="55"/>
        <v>229.28586357</v>
      </c>
      <c r="M94" s="208">
        <f t="shared" si="55"/>
        <v>159.49179237000001</v>
      </c>
      <c r="N94" s="207"/>
      <c r="O94" s="184">
        <f>E$96-J94</f>
        <v>672.5621294550001</v>
      </c>
      <c r="P94" s="184">
        <f t="shared" ref="P94:R97" si="56">F$96-K94</f>
        <v>645.41999065499999</v>
      </c>
      <c r="Q94" s="184">
        <f t="shared" si="56"/>
        <v>323.13747243000006</v>
      </c>
      <c r="R94" s="184">
        <f t="shared" si="56"/>
        <v>295.99533363</v>
      </c>
      <c r="S94" s="207"/>
      <c r="T94" s="184">
        <f t="shared" si="30"/>
        <v>-15749.437870545</v>
      </c>
      <c r="U94" s="184">
        <f t="shared" si="30"/>
        <v>-11676.580009345</v>
      </c>
      <c r="V94" s="184">
        <f t="shared" si="30"/>
        <v>-14811.86252757</v>
      </c>
      <c r="W94" s="184">
        <f t="shared" si="30"/>
        <v>-10740.00466637</v>
      </c>
      <c r="X94" s="207"/>
      <c r="Y94" s="184">
        <f t="shared" si="31"/>
        <v>-29893.437870545</v>
      </c>
      <c r="Z94" s="184">
        <f t="shared" si="31"/>
        <v>-20902.580009345002</v>
      </c>
      <c r="AA94" s="184">
        <f t="shared" si="31"/>
        <v>-27412.86252757</v>
      </c>
      <c r="AB94" s="184">
        <f t="shared" si="31"/>
        <v>-18422.004666370001</v>
      </c>
      <c r="AC94" s="207"/>
      <c r="AD94" s="184">
        <f t="shared" si="32"/>
        <v>-1774763.2870671866</v>
      </c>
      <c r="AE94" s="184">
        <f t="shared" si="32"/>
        <v>-1637980.9522331865</v>
      </c>
      <c r="AF94" s="184">
        <f t="shared" si="32"/>
        <v>-1730917.5736570114</v>
      </c>
      <c r="AG94" s="184">
        <f t="shared" si="32"/>
        <v>-1594135.5588230116</v>
      </c>
      <c r="AI94" s="184">
        <f t="shared" si="27"/>
        <v>-792967.41879146534</v>
      </c>
      <c r="AJ94" s="184">
        <f t="shared" si="27"/>
        <v>-656185.08395746537</v>
      </c>
      <c r="AK94" s="184">
        <f t="shared" si="27"/>
        <v>-749121.70538129029</v>
      </c>
      <c r="AL94" s="184">
        <f t="shared" si="27"/>
        <v>-612339.69054729037</v>
      </c>
    </row>
    <row r="95" spans="2:38" x14ac:dyDescent="0.3">
      <c r="B95" s="222" t="s">
        <v>827</v>
      </c>
      <c r="C95" s="180">
        <v>3.0000000000000001E-6</v>
      </c>
      <c r="D95" s="180">
        <v>3.0000000000000001E-6</v>
      </c>
      <c r="I95" s="221" t="s">
        <v>835</v>
      </c>
      <c r="J95" s="101">
        <f>J70*$D$95</f>
        <v>425.12597705400003</v>
      </c>
      <c r="K95" s="101">
        <f t="shared" si="55"/>
        <v>357.34817902200001</v>
      </c>
      <c r="L95" s="101">
        <f t="shared" si="55"/>
        <v>219.67786475400004</v>
      </c>
      <c r="M95" s="101">
        <f t="shared" si="55"/>
        <v>151.90006672200002</v>
      </c>
      <c r="O95" s="184">
        <f>E$96-J95</f>
        <v>695.46414894600002</v>
      </c>
      <c r="P95" s="184">
        <f t="shared" si="56"/>
        <v>666.30573697799991</v>
      </c>
      <c r="Q95" s="184">
        <f t="shared" si="56"/>
        <v>332.74547124600002</v>
      </c>
      <c r="R95" s="184">
        <f t="shared" si="56"/>
        <v>303.58705927799997</v>
      </c>
      <c r="T95" s="184">
        <f t="shared" si="30"/>
        <v>-15726.535851053999</v>
      </c>
      <c r="U95" s="184">
        <f t="shared" si="30"/>
        <v>-11655.694263022</v>
      </c>
      <c r="V95" s="184">
        <f t="shared" si="30"/>
        <v>-14802.254528754</v>
      </c>
      <c r="W95" s="184">
        <f t="shared" si="30"/>
        <v>-10732.412940722001</v>
      </c>
      <c r="Y95" s="184">
        <f t="shared" si="31"/>
        <v>-29870.535851053999</v>
      </c>
      <c r="Z95" s="184">
        <f t="shared" si="31"/>
        <v>-20881.694263022</v>
      </c>
      <c r="AA95" s="184">
        <f t="shared" si="31"/>
        <v>-27403.254528754002</v>
      </c>
      <c r="AB95" s="184">
        <f t="shared" si="31"/>
        <v>-18414.412940721999</v>
      </c>
      <c r="AD95" s="184">
        <f t="shared" si="32"/>
        <v>-1774740.3850476954</v>
      </c>
      <c r="AE95" s="184">
        <f t="shared" si="32"/>
        <v>-1637960.0664868634</v>
      </c>
      <c r="AF95" s="184">
        <f t="shared" si="32"/>
        <v>-1730907.9656581953</v>
      </c>
      <c r="AG95" s="184">
        <f t="shared" si="32"/>
        <v>-1594127.9670973634</v>
      </c>
      <c r="AI95" s="184">
        <f t="shared" si="27"/>
        <v>-792944.51677197439</v>
      </c>
      <c r="AJ95" s="184">
        <f t="shared" si="27"/>
        <v>-656164.19821114244</v>
      </c>
      <c r="AK95" s="184">
        <f t="shared" si="27"/>
        <v>-749112.09738247434</v>
      </c>
      <c r="AL95" s="184">
        <f t="shared" si="27"/>
        <v>-612332.09882164234</v>
      </c>
    </row>
    <row r="96" spans="2:38" x14ac:dyDescent="0.3">
      <c r="D96" s="179" t="s">
        <v>832</v>
      </c>
      <c r="E96" s="184">
        <f>E72*$D$95</f>
        <v>1120.5901260000001</v>
      </c>
      <c r="F96" s="184">
        <f t="shared" ref="F96:H96" si="57">F72*$D$95</f>
        <v>1023.653916</v>
      </c>
      <c r="G96" s="184">
        <f t="shared" si="57"/>
        <v>552.42333600000006</v>
      </c>
      <c r="H96" s="184">
        <f t="shared" si="57"/>
        <v>455.48712599999999</v>
      </c>
      <c r="I96" s="221" t="s">
        <v>836</v>
      </c>
      <c r="J96" s="101">
        <f>J71*$D$95</f>
        <v>411.80757187308006</v>
      </c>
      <c r="K96" s="101">
        <f t="shared" si="55"/>
        <v>345.20231423724005</v>
      </c>
      <c r="L96" s="101">
        <f t="shared" si="55"/>
        <v>214.09044390408005</v>
      </c>
      <c r="M96" s="101">
        <f t="shared" si="55"/>
        <v>147.48518626824</v>
      </c>
      <c r="O96" s="184">
        <f t="shared" ref="O96:O97" si="58">E$96-J96</f>
        <v>708.78255412691999</v>
      </c>
      <c r="P96" s="184">
        <f t="shared" si="56"/>
        <v>678.45160176275999</v>
      </c>
      <c r="Q96" s="184">
        <f t="shared" si="56"/>
        <v>338.33289209591999</v>
      </c>
      <c r="R96" s="184">
        <f t="shared" si="56"/>
        <v>308.00193973175999</v>
      </c>
      <c r="T96" s="184">
        <f t="shared" si="30"/>
        <v>-15713.217445873081</v>
      </c>
      <c r="U96" s="184">
        <f t="shared" si="30"/>
        <v>-11643.548398237241</v>
      </c>
      <c r="V96" s="184">
        <f t="shared" si="30"/>
        <v>-14796.667107904081</v>
      </c>
      <c r="W96" s="184">
        <f t="shared" si="30"/>
        <v>-10727.998060268241</v>
      </c>
      <c r="Y96" s="184">
        <f t="shared" si="31"/>
        <v>-29857.217445873081</v>
      </c>
      <c r="Z96" s="184">
        <f t="shared" si="31"/>
        <v>-20869.548398237239</v>
      </c>
      <c r="AA96" s="184">
        <f t="shared" si="31"/>
        <v>-27397.667107904079</v>
      </c>
      <c r="AB96" s="184">
        <f t="shared" si="31"/>
        <v>-18409.998060268241</v>
      </c>
      <c r="AD96" s="184">
        <f t="shared" si="32"/>
        <v>-1774727.0666425147</v>
      </c>
      <c r="AE96" s="184">
        <f t="shared" si="32"/>
        <v>-1637947.9206220787</v>
      </c>
      <c r="AF96" s="184">
        <f t="shared" si="32"/>
        <v>-1730902.3782373455</v>
      </c>
      <c r="AG96" s="184">
        <f t="shared" si="32"/>
        <v>-1594123.5522169098</v>
      </c>
      <c r="AI96" s="184">
        <f t="shared" si="27"/>
        <v>-792931.19836679345</v>
      </c>
      <c r="AJ96" s="184">
        <f t="shared" si="27"/>
        <v>-656152.05234635761</v>
      </c>
      <c r="AK96" s="184">
        <f t="shared" si="27"/>
        <v>-749106.5099616244</v>
      </c>
      <c r="AL96" s="184">
        <f t="shared" si="27"/>
        <v>-612327.68394118862</v>
      </c>
    </row>
    <row r="97" spans="4:38" x14ac:dyDescent="0.3">
      <c r="D97" s="179" t="s">
        <v>833</v>
      </c>
      <c r="E97" s="184">
        <f>E72*$C$95</f>
        <v>1120.5901260000001</v>
      </c>
      <c r="F97" s="184">
        <f t="shared" ref="F97:H97" si="59">F72*$C$95</f>
        <v>1023.653916</v>
      </c>
      <c r="G97" s="184">
        <f t="shared" si="59"/>
        <v>552.42333600000006</v>
      </c>
      <c r="H97" s="184">
        <f t="shared" si="59"/>
        <v>455.48712599999999</v>
      </c>
      <c r="I97" s="8" t="s">
        <v>837</v>
      </c>
      <c r="J97" s="170">
        <f>J72*$D$95</f>
        <v>407.46816768767764</v>
      </c>
      <c r="K97" s="170">
        <f t="shared" si="55"/>
        <v>341.2449472877928</v>
      </c>
      <c r="L97" s="170">
        <f t="shared" si="55"/>
        <v>212.26994985149761</v>
      </c>
      <c r="M97" s="170">
        <f t="shared" si="55"/>
        <v>146.0467294516128</v>
      </c>
      <c r="N97" s="8"/>
      <c r="O97" s="197">
        <f t="shared" si="58"/>
        <v>713.12195831232248</v>
      </c>
      <c r="P97" s="197">
        <f t="shared" si="56"/>
        <v>682.40896871220718</v>
      </c>
      <c r="Q97" s="197">
        <f t="shared" si="56"/>
        <v>340.15338614850248</v>
      </c>
      <c r="R97" s="197">
        <f t="shared" si="56"/>
        <v>309.44039654838718</v>
      </c>
      <c r="S97" s="8"/>
      <c r="T97" s="197">
        <f t="shared" si="30"/>
        <v>-15708.878041687678</v>
      </c>
      <c r="U97" s="197">
        <f t="shared" si="30"/>
        <v>-11639.591031287793</v>
      </c>
      <c r="V97" s="197">
        <f t="shared" si="30"/>
        <v>-14794.846613851498</v>
      </c>
      <c r="W97" s="197">
        <f t="shared" si="30"/>
        <v>-10726.559603451613</v>
      </c>
      <c r="X97" s="8"/>
      <c r="Y97" s="197">
        <f t="shared" si="31"/>
        <v>-29852.878041687676</v>
      </c>
      <c r="Z97" s="197">
        <f t="shared" si="31"/>
        <v>-20865.591031287793</v>
      </c>
      <c r="AA97" s="197">
        <f t="shared" si="31"/>
        <v>-27395.846613851496</v>
      </c>
      <c r="AB97" s="197">
        <f t="shared" si="31"/>
        <v>-18408.559603451613</v>
      </c>
      <c r="AC97" s="8"/>
      <c r="AD97" s="197">
        <f t="shared" si="32"/>
        <v>-1774722.7272383291</v>
      </c>
      <c r="AE97" s="197">
        <f t="shared" si="32"/>
        <v>-1637943.9632551293</v>
      </c>
      <c r="AF97" s="197">
        <f t="shared" si="32"/>
        <v>-1730900.557743293</v>
      </c>
      <c r="AG97" s="197">
        <f t="shared" si="32"/>
        <v>-1594122.113760093</v>
      </c>
      <c r="AI97" s="197">
        <f t="shared" si="27"/>
        <v>-792926.85896260804</v>
      </c>
      <c r="AJ97" s="197">
        <f t="shared" si="27"/>
        <v>-656148.0949794082</v>
      </c>
      <c r="AK97" s="197">
        <f t="shared" si="27"/>
        <v>-749104.68946757179</v>
      </c>
      <c r="AL97" s="197">
        <f t="shared" si="27"/>
        <v>-612326.24548437202</v>
      </c>
    </row>
    <row r="99" spans="4:38" x14ac:dyDescent="0.3">
      <c r="O99" s="221" t="s">
        <v>840</v>
      </c>
    </row>
    <row r="100" spans="4:38" x14ac:dyDescent="0.3">
      <c r="O100" s="221" t="s">
        <v>841</v>
      </c>
    </row>
    <row r="101" spans="4:38" x14ac:dyDescent="0.3">
      <c r="J101" s="86" t="s">
        <v>842</v>
      </c>
    </row>
    <row r="102" spans="4:38" x14ac:dyDescent="0.3">
      <c r="I102" s="221" t="s">
        <v>1013</v>
      </c>
      <c r="J102" s="86" t="s">
        <v>1014</v>
      </c>
    </row>
    <row r="103" spans="4:38" x14ac:dyDescent="0.3">
      <c r="I103" s="186" t="s">
        <v>1012</v>
      </c>
      <c r="J103" s="175">
        <v>149342665.51499999</v>
      </c>
      <c r="K103" s="175">
        <v>126077975.11500001</v>
      </c>
      <c r="L103" s="175">
        <v>76428621.189999998</v>
      </c>
      <c r="M103" s="175">
        <v>53163930.789999999</v>
      </c>
    </row>
    <row r="104" spans="4:38" x14ac:dyDescent="0.3">
      <c r="I104" s="186" t="s">
        <v>835</v>
      </c>
      <c r="J104" s="175">
        <v>141708659.01800001</v>
      </c>
      <c r="K104" s="175">
        <v>119116059.67399999</v>
      </c>
      <c r="L104" s="175">
        <v>73225954.918000013</v>
      </c>
      <c r="M104" s="175">
        <v>50633355.574000001</v>
      </c>
    </row>
    <row r="105" spans="4:38" x14ac:dyDescent="0.3">
      <c r="I105" s="186" t="s">
        <v>836</v>
      </c>
      <c r="J105" s="175">
        <v>137269190.62436002</v>
      </c>
      <c r="K105" s="175">
        <v>115067438.07908002</v>
      </c>
      <c r="L105" s="175">
        <v>71363481.301360011</v>
      </c>
      <c r="M105" s="175">
        <v>49161728.756080002</v>
      </c>
      <c r="O105" s="86" t="s">
        <v>842</v>
      </c>
      <c r="T105" s="86" t="s">
        <v>937</v>
      </c>
      <c r="AD105" s="240" t="s">
        <v>1033</v>
      </c>
      <c r="AE105" s="240"/>
      <c r="AF105" s="240"/>
      <c r="AG105" s="240"/>
      <c r="AH105" s="240"/>
      <c r="AI105" s="240" t="s">
        <v>1034</v>
      </c>
    </row>
    <row r="106" spans="4:38" x14ac:dyDescent="0.3">
      <c r="I106" s="186" t="s">
        <v>837</v>
      </c>
      <c r="J106" s="175">
        <v>135822722.56255922</v>
      </c>
      <c r="K106" s="175">
        <v>113748315.76259761</v>
      </c>
      <c r="L106" s="175">
        <v>70756649.950499207</v>
      </c>
      <c r="M106" s="175">
        <v>48682243.150537603</v>
      </c>
      <c r="O106" s="244" t="s">
        <v>1017</v>
      </c>
      <c r="P106" s="244"/>
      <c r="Q106" s="244"/>
      <c r="R106" s="244"/>
      <c r="T106" s="221" t="s">
        <v>969</v>
      </c>
      <c r="Y106" s="221" t="s">
        <v>968</v>
      </c>
      <c r="AD106" s="221" t="s">
        <v>972</v>
      </c>
      <c r="AI106" s="221" t="s">
        <v>972</v>
      </c>
    </row>
    <row r="107" spans="4:38" x14ac:dyDescent="0.3">
      <c r="H107" s="176" t="s">
        <v>823</v>
      </c>
      <c r="I107" s="238" t="s">
        <v>839</v>
      </c>
      <c r="J107" s="188" t="s">
        <v>828</v>
      </c>
      <c r="K107" s="188" t="s">
        <v>829</v>
      </c>
      <c r="L107" s="188" t="s">
        <v>830</v>
      </c>
      <c r="M107" s="188" t="s">
        <v>831</v>
      </c>
      <c r="N107" s="8"/>
      <c r="O107" s="188" t="s">
        <v>828</v>
      </c>
      <c r="P107" s="188" t="s">
        <v>829</v>
      </c>
      <c r="Q107" s="188" t="s">
        <v>830</v>
      </c>
      <c r="R107" s="188" t="s">
        <v>831</v>
      </c>
      <c r="S107" s="8"/>
      <c r="T107" s="170">
        <f>11789+4633</f>
        <v>16422</v>
      </c>
      <c r="U107" s="170">
        <f>7689+4633</f>
        <v>12322</v>
      </c>
      <c r="V107" s="170">
        <f>10502+4633</f>
        <v>15135</v>
      </c>
      <c r="W107" s="170">
        <f>6403+4633</f>
        <v>11036</v>
      </c>
      <c r="X107" s="8"/>
      <c r="Y107" s="170">
        <f>25933+4633</f>
        <v>30566</v>
      </c>
      <c r="Z107" s="170">
        <f>16915+4633</f>
        <v>21548</v>
      </c>
      <c r="AA107" s="170">
        <f>23103+4633</f>
        <v>27736</v>
      </c>
      <c r="AB107" s="170">
        <f>14085+4633</f>
        <v>18718</v>
      </c>
      <c r="AC107" s="8"/>
      <c r="AD107" s="170">
        <v>1775435.8491966415</v>
      </c>
      <c r="AE107" s="170">
        <v>1638626.3722238415</v>
      </c>
      <c r="AF107" s="170">
        <v>1731240.7111294414</v>
      </c>
      <c r="AG107" s="170">
        <v>1594431.5541566415</v>
      </c>
      <c r="AI107" s="170">
        <v>793639.98092092038</v>
      </c>
      <c r="AJ107" s="170">
        <v>656830.5039481204</v>
      </c>
      <c r="AK107" s="170">
        <v>749444.8428537203</v>
      </c>
      <c r="AL107" s="170">
        <v>612635.68588092038</v>
      </c>
    </row>
    <row r="108" spans="4:38" x14ac:dyDescent="0.3">
      <c r="H108" s="225"/>
      <c r="I108" s="145" t="s">
        <v>1012</v>
      </c>
      <c r="J108" s="101">
        <f>$C$75*J103</f>
        <v>149342665.51499999</v>
      </c>
      <c r="K108" s="101">
        <f t="shared" ref="K108:M108" si="60">$C$75*K103</f>
        <v>126077975.11500001</v>
      </c>
      <c r="L108" s="101">
        <f t="shared" si="60"/>
        <v>76428621.189999998</v>
      </c>
      <c r="M108" s="101">
        <f t="shared" si="60"/>
        <v>53163930.789999999</v>
      </c>
      <c r="N108" s="207"/>
      <c r="O108" s="182">
        <f>E$77-J108</f>
        <v>224187376.48500001</v>
      </c>
      <c r="P108" s="182">
        <f t="shared" ref="P108:R111" si="61">F$77-K108</f>
        <v>215139996.88499999</v>
      </c>
      <c r="Q108" s="182">
        <f t="shared" si="61"/>
        <v>107712490.81</v>
      </c>
      <c r="R108" s="182">
        <f t="shared" si="61"/>
        <v>98665111.210000008</v>
      </c>
      <c r="S108" s="207"/>
      <c r="T108" s="182">
        <f>O108-T$107</f>
        <v>224170954.48500001</v>
      </c>
      <c r="U108" s="182">
        <f t="shared" ref="U108:W123" si="62">P108-U$107</f>
        <v>215127674.88499999</v>
      </c>
      <c r="V108" s="182">
        <f t="shared" si="62"/>
        <v>107697355.81</v>
      </c>
      <c r="W108" s="182">
        <f t="shared" si="62"/>
        <v>98654075.210000008</v>
      </c>
      <c r="X108" s="207"/>
      <c r="Y108" s="182">
        <f>O108-Y$107</f>
        <v>224156810.48500001</v>
      </c>
      <c r="Z108" s="182">
        <f t="shared" ref="Z108:AB123" si="63">P108-Z$107</f>
        <v>215118448.88499999</v>
      </c>
      <c r="AA108" s="182">
        <f t="shared" si="63"/>
        <v>107684754.81</v>
      </c>
      <c r="AB108" s="182">
        <f t="shared" si="63"/>
        <v>98646393.210000008</v>
      </c>
      <c r="AC108" s="207"/>
      <c r="AD108" s="182">
        <f>O108-AD$107</f>
        <v>222411940.63580337</v>
      </c>
      <c r="AE108" s="182">
        <f t="shared" ref="AE108:AG123" si="64">P108-AE$107</f>
        <v>213501370.51277614</v>
      </c>
      <c r="AF108" s="182">
        <f t="shared" si="64"/>
        <v>105981250.09887056</v>
      </c>
      <c r="AG108" s="182">
        <f t="shared" si="64"/>
        <v>97070679.655843362</v>
      </c>
      <c r="AI108" s="182">
        <f>O108-AI$73</f>
        <v>223393736.5040791</v>
      </c>
      <c r="AJ108" s="182">
        <f t="shared" ref="AJ108:AL131" si="65">P108-AJ$73</f>
        <v>214483166.38105187</v>
      </c>
      <c r="AK108" s="182">
        <f t="shared" si="65"/>
        <v>106963045.96714628</v>
      </c>
      <c r="AL108" s="182">
        <f t="shared" si="65"/>
        <v>98052475.524119094</v>
      </c>
    </row>
    <row r="109" spans="4:38" x14ac:dyDescent="0.3">
      <c r="H109" s="222" t="s">
        <v>826</v>
      </c>
      <c r="I109" s="221" t="s">
        <v>835</v>
      </c>
      <c r="J109" s="101">
        <f>$C$75*J70</f>
        <v>141708659.01800001</v>
      </c>
      <c r="K109" s="101">
        <f t="shared" ref="K109:M111" si="66">$C$75*K70</f>
        <v>119116059.67399999</v>
      </c>
      <c r="L109" s="101">
        <f t="shared" si="66"/>
        <v>73225954.918000013</v>
      </c>
      <c r="M109" s="101">
        <f t="shared" si="66"/>
        <v>50633355.574000001</v>
      </c>
      <c r="O109" s="182">
        <f>E$77-J109</f>
        <v>231821382.98199999</v>
      </c>
      <c r="P109" s="182">
        <f t="shared" si="61"/>
        <v>222101912.32600001</v>
      </c>
      <c r="Q109" s="182">
        <f t="shared" si="61"/>
        <v>110915157.08199999</v>
      </c>
      <c r="R109" s="182">
        <f t="shared" si="61"/>
        <v>101195686.426</v>
      </c>
      <c r="T109" s="182">
        <f>O109-T$107</f>
        <v>231804960.98199999</v>
      </c>
      <c r="U109" s="182">
        <f t="shared" si="62"/>
        <v>222089590.32600001</v>
      </c>
      <c r="V109" s="182">
        <f t="shared" si="62"/>
        <v>110900022.08199999</v>
      </c>
      <c r="W109" s="182">
        <f t="shared" si="62"/>
        <v>101184650.426</v>
      </c>
      <c r="Y109" s="182">
        <f>O109-Y$107</f>
        <v>231790816.98199999</v>
      </c>
      <c r="Z109" s="182">
        <f t="shared" si="63"/>
        <v>222080364.32600001</v>
      </c>
      <c r="AA109" s="182">
        <f t="shared" si="63"/>
        <v>110887421.08199999</v>
      </c>
      <c r="AB109" s="182">
        <f t="shared" si="63"/>
        <v>101176968.426</v>
      </c>
      <c r="AD109" s="182">
        <f>O109-AD$107</f>
        <v>230045947.13280335</v>
      </c>
      <c r="AE109" s="182">
        <f t="shared" si="64"/>
        <v>220463285.95377615</v>
      </c>
      <c r="AF109" s="182">
        <f t="shared" si="64"/>
        <v>109183916.37087055</v>
      </c>
      <c r="AG109" s="182">
        <f t="shared" si="64"/>
        <v>99601254.871843353</v>
      </c>
      <c r="AI109" s="182">
        <f t="shared" ref="AI109:AI131" si="67">O109-AI$73</f>
        <v>231027743.00107908</v>
      </c>
      <c r="AJ109" s="182">
        <f t="shared" si="65"/>
        <v>221445081.82205188</v>
      </c>
      <c r="AK109" s="182">
        <f t="shared" si="65"/>
        <v>110165712.23914626</v>
      </c>
      <c r="AL109" s="182">
        <f t="shared" si="65"/>
        <v>100583050.74011908</v>
      </c>
    </row>
    <row r="110" spans="4:38" x14ac:dyDescent="0.3">
      <c r="H110" s="222" t="s">
        <v>924</v>
      </c>
      <c r="I110" s="221" t="s">
        <v>836</v>
      </c>
      <c r="J110" s="101">
        <f>$C$75*J71</f>
        <v>137269190.62436002</v>
      </c>
      <c r="K110" s="101">
        <f t="shared" si="66"/>
        <v>115067438.07908002</v>
      </c>
      <c r="L110" s="101">
        <f t="shared" si="66"/>
        <v>71363481.301360011</v>
      </c>
      <c r="M110" s="101">
        <f t="shared" si="66"/>
        <v>49161728.756080002</v>
      </c>
      <c r="O110" s="182">
        <f t="shared" ref="O110:O111" si="68">E$77-J110</f>
        <v>236260851.37563998</v>
      </c>
      <c r="P110" s="182">
        <f t="shared" si="61"/>
        <v>226150533.92091998</v>
      </c>
      <c r="Q110" s="182">
        <f t="shared" si="61"/>
        <v>112777630.69863999</v>
      </c>
      <c r="R110" s="182">
        <f t="shared" si="61"/>
        <v>102667313.24392</v>
      </c>
      <c r="T110" s="182">
        <f t="shared" ref="T110:W131" si="69">O110-T$107</f>
        <v>236244429.37563998</v>
      </c>
      <c r="U110" s="182">
        <f t="shared" si="62"/>
        <v>226138211.92091998</v>
      </c>
      <c r="V110" s="182">
        <f t="shared" si="62"/>
        <v>112762495.69863999</v>
      </c>
      <c r="W110" s="182">
        <f t="shared" si="62"/>
        <v>102656277.24392</v>
      </c>
      <c r="Y110" s="182">
        <f t="shared" ref="Y110:AB131" si="70">O110-Y$107</f>
        <v>236230285.37563998</v>
      </c>
      <c r="Z110" s="182">
        <f t="shared" si="63"/>
        <v>226128985.92091998</v>
      </c>
      <c r="AA110" s="182">
        <f t="shared" si="63"/>
        <v>112749894.69863999</v>
      </c>
      <c r="AB110" s="182">
        <f t="shared" si="63"/>
        <v>102648595.24392</v>
      </c>
      <c r="AD110" s="182">
        <f t="shared" ref="AD110:AG131" si="71">O110-AD$107</f>
        <v>234485415.52644333</v>
      </c>
      <c r="AE110" s="182">
        <f t="shared" si="64"/>
        <v>224511907.54869613</v>
      </c>
      <c r="AF110" s="182">
        <f t="shared" si="64"/>
        <v>111046389.98751055</v>
      </c>
      <c r="AG110" s="182">
        <f t="shared" si="64"/>
        <v>101072881.68976335</v>
      </c>
      <c r="AI110" s="182">
        <f t="shared" si="67"/>
        <v>235467211.39471906</v>
      </c>
      <c r="AJ110" s="182">
        <f t="shared" si="65"/>
        <v>225493703.41697186</v>
      </c>
      <c r="AK110" s="182">
        <f t="shared" si="65"/>
        <v>112028185.85578626</v>
      </c>
      <c r="AL110" s="182">
        <f t="shared" si="65"/>
        <v>102054677.55803908</v>
      </c>
    </row>
    <row r="111" spans="4:38" x14ac:dyDescent="0.3">
      <c r="H111" s="111"/>
      <c r="I111" s="8" t="s">
        <v>837</v>
      </c>
      <c r="J111" s="170">
        <f>$C$75*J72</f>
        <v>135822722.56255922</v>
      </c>
      <c r="K111" s="170">
        <f t="shared" si="66"/>
        <v>113748315.76259761</v>
      </c>
      <c r="L111" s="170">
        <f t="shared" si="66"/>
        <v>70756649.950499207</v>
      </c>
      <c r="M111" s="170">
        <f t="shared" si="66"/>
        <v>48682243.150537603</v>
      </c>
      <c r="N111" s="8"/>
      <c r="O111" s="194">
        <f t="shared" si="68"/>
        <v>237707319.43744078</v>
      </c>
      <c r="P111" s="194">
        <f t="shared" si="61"/>
        <v>227469656.23740238</v>
      </c>
      <c r="Q111" s="194">
        <f t="shared" si="61"/>
        <v>113384462.04950079</v>
      </c>
      <c r="R111" s="194">
        <f t="shared" si="61"/>
        <v>103146798.84946239</v>
      </c>
      <c r="S111" s="8"/>
      <c r="T111" s="194">
        <f t="shared" si="69"/>
        <v>237690897.43744078</v>
      </c>
      <c r="U111" s="194">
        <f t="shared" si="62"/>
        <v>227457334.23740238</v>
      </c>
      <c r="V111" s="194">
        <f t="shared" si="62"/>
        <v>113369327.04950079</v>
      </c>
      <c r="W111" s="194">
        <f t="shared" si="62"/>
        <v>103135762.84946239</v>
      </c>
      <c r="X111" s="8"/>
      <c r="Y111" s="194">
        <f t="shared" si="70"/>
        <v>237676753.43744078</v>
      </c>
      <c r="Z111" s="194">
        <f t="shared" si="63"/>
        <v>227448108.23740238</v>
      </c>
      <c r="AA111" s="194">
        <f t="shared" si="63"/>
        <v>113356726.04950079</v>
      </c>
      <c r="AB111" s="194">
        <f t="shared" si="63"/>
        <v>103128080.84946239</v>
      </c>
      <c r="AC111" s="8"/>
      <c r="AD111" s="194">
        <f t="shared" si="71"/>
        <v>235931883.58824414</v>
      </c>
      <c r="AE111" s="194">
        <f t="shared" si="64"/>
        <v>225831029.86517853</v>
      </c>
      <c r="AF111" s="194">
        <f t="shared" si="64"/>
        <v>111653221.33837135</v>
      </c>
      <c r="AG111" s="194">
        <f t="shared" si="64"/>
        <v>101552367.29530574</v>
      </c>
      <c r="AI111" s="194">
        <f t="shared" si="67"/>
        <v>236913679.45651987</v>
      </c>
      <c r="AJ111" s="194">
        <f t="shared" si="65"/>
        <v>226812825.73345426</v>
      </c>
      <c r="AK111" s="194">
        <f t="shared" si="65"/>
        <v>112635017.20664707</v>
      </c>
      <c r="AL111" s="194">
        <f t="shared" si="65"/>
        <v>102534163.16358148</v>
      </c>
    </row>
    <row r="112" spans="4:38" x14ac:dyDescent="0.3">
      <c r="H112" s="237"/>
      <c r="I112" s="145" t="s">
        <v>1012</v>
      </c>
      <c r="J112" s="101">
        <f>$C$79*J103</f>
        <v>1454896.24744713</v>
      </c>
      <c r="K112" s="101">
        <f t="shared" ref="K112:M115" si="72">$C$79*K103</f>
        <v>1228251.6335703302</v>
      </c>
      <c r="L112" s="101">
        <f t="shared" si="72"/>
        <v>744567.62763298</v>
      </c>
      <c r="M112" s="101">
        <f t="shared" si="72"/>
        <v>517923.01375618001</v>
      </c>
      <c r="N112" s="207"/>
      <c r="O112" s="182">
        <f>E$81-J112</f>
        <v>2184033.4217168698</v>
      </c>
      <c r="P112" s="182">
        <f t="shared" ref="P112:R115" si="73">F$81-K112</f>
        <v>2095893.8496536701</v>
      </c>
      <c r="Q112" s="182">
        <f t="shared" si="73"/>
        <v>1049335.0854710201</v>
      </c>
      <c r="R112" s="182">
        <f t="shared" si="73"/>
        <v>961195.51340782014</v>
      </c>
      <c r="S112" s="207"/>
      <c r="T112" s="182">
        <f t="shared" si="69"/>
        <v>2167611.4217168698</v>
      </c>
      <c r="U112" s="182">
        <f t="shared" si="62"/>
        <v>2083571.8496536701</v>
      </c>
      <c r="V112" s="182">
        <f t="shared" si="62"/>
        <v>1034200.0854710201</v>
      </c>
      <c r="W112" s="195">
        <f t="shared" si="62"/>
        <v>950159.51340782014</v>
      </c>
      <c r="X112" s="207"/>
      <c r="Y112" s="182">
        <f t="shared" si="70"/>
        <v>2153467.4217168698</v>
      </c>
      <c r="Z112" s="182">
        <f t="shared" si="63"/>
        <v>2074345.8496536701</v>
      </c>
      <c r="AA112" s="182">
        <f t="shared" si="63"/>
        <v>1021599.0854710201</v>
      </c>
      <c r="AB112" s="195">
        <f t="shared" si="63"/>
        <v>942477.51340782014</v>
      </c>
      <c r="AC112" s="207"/>
      <c r="AD112" s="195">
        <f t="shared" si="71"/>
        <v>408597.57252022834</v>
      </c>
      <c r="AE112" s="195">
        <f t="shared" si="64"/>
        <v>457267.47742982861</v>
      </c>
      <c r="AF112" s="184">
        <f t="shared" si="64"/>
        <v>-681905.62565842131</v>
      </c>
      <c r="AG112" s="184">
        <f t="shared" si="64"/>
        <v>-633236.04074882134</v>
      </c>
      <c r="AI112" s="182">
        <f t="shared" si="67"/>
        <v>1390393.4407959494</v>
      </c>
      <c r="AJ112" s="182">
        <f t="shared" si="65"/>
        <v>1439063.3457055497</v>
      </c>
      <c r="AK112" s="195">
        <f t="shared" si="65"/>
        <v>299890.24261729978</v>
      </c>
      <c r="AL112" s="195">
        <f t="shared" si="65"/>
        <v>348559.82752689975</v>
      </c>
    </row>
    <row r="113" spans="8:38" ht="28.8" x14ac:dyDescent="0.3">
      <c r="H113" s="222" t="s">
        <v>920</v>
      </c>
      <c r="I113" s="221" t="s">
        <v>835</v>
      </c>
      <c r="J113" s="101">
        <f>$C$79*J104</f>
        <v>1380525.7561533561</v>
      </c>
      <c r="K113" s="101">
        <f t="shared" si="72"/>
        <v>1160428.653344108</v>
      </c>
      <c r="L113" s="101">
        <f t="shared" si="72"/>
        <v>713367.25281115621</v>
      </c>
      <c r="M113" s="101">
        <f t="shared" si="72"/>
        <v>493270.15000190807</v>
      </c>
      <c r="O113" s="182">
        <f>E$81-J113</f>
        <v>2258403.9130106438</v>
      </c>
      <c r="P113" s="182">
        <f t="shared" si="73"/>
        <v>2163716.8298798921</v>
      </c>
      <c r="Q113" s="182">
        <f t="shared" si="73"/>
        <v>1080535.4602928439</v>
      </c>
      <c r="R113" s="182">
        <f t="shared" si="73"/>
        <v>985848.37716209202</v>
      </c>
      <c r="T113" s="182">
        <f t="shared" si="69"/>
        <v>2241981.9130106438</v>
      </c>
      <c r="U113" s="182">
        <f t="shared" si="62"/>
        <v>2151394.8298798921</v>
      </c>
      <c r="V113" s="182">
        <f t="shared" si="62"/>
        <v>1065400.4602928439</v>
      </c>
      <c r="W113" s="195">
        <f t="shared" si="62"/>
        <v>974812.37716209202</v>
      </c>
      <c r="Y113" s="182">
        <f t="shared" si="70"/>
        <v>2227837.9130106438</v>
      </c>
      <c r="Z113" s="182">
        <f t="shared" si="63"/>
        <v>2142168.8298798921</v>
      </c>
      <c r="AA113" s="182">
        <f t="shared" si="63"/>
        <v>1052799.4602928439</v>
      </c>
      <c r="AB113" s="195">
        <f t="shared" si="63"/>
        <v>967130.37716209202</v>
      </c>
      <c r="AD113" s="195">
        <f t="shared" si="71"/>
        <v>482968.06381400232</v>
      </c>
      <c r="AE113" s="195">
        <f t="shared" si="64"/>
        <v>525090.45765605057</v>
      </c>
      <c r="AF113" s="184">
        <f t="shared" si="64"/>
        <v>-650705.25083659752</v>
      </c>
      <c r="AG113" s="184">
        <f t="shared" si="64"/>
        <v>-608583.17699454946</v>
      </c>
      <c r="AI113" s="182">
        <f t="shared" si="67"/>
        <v>1464763.9320897234</v>
      </c>
      <c r="AJ113" s="182">
        <f t="shared" si="65"/>
        <v>1506886.3259317717</v>
      </c>
      <c r="AK113" s="195">
        <f t="shared" si="65"/>
        <v>331090.61743912357</v>
      </c>
      <c r="AL113" s="195">
        <f t="shared" si="65"/>
        <v>373212.69128117163</v>
      </c>
    </row>
    <row r="114" spans="8:38" x14ac:dyDescent="0.3">
      <c r="H114" s="222"/>
      <c r="I114" s="221" t="s">
        <v>836</v>
      </c>
      <c r="J114" s="101">
        <f>$C$79*J105</f>
        <v>1337276.4550625156</v>
      </c>
      <c r="K114" s="101">
        <f t="shared" si="72"/>
        <v>1120986.9817663976</v>
      </c>
      <c r="L114" s="101">
        <f t="shared" si="72"/>
        <v>695223.03483784932</v>
      </c>
      <c r="M114" s="101">
        <f t="shared" si="72"/>
        <v>478933.56154173141</v>
      </c>
      <c r="O114" s="182">
        <f t="shared" ref="O114:O115" si="74">E$81-J114</f>
        <v>2301653.2141014845</v>
      </c>
      <c r="P114" s="182">
        <f t="shared" si="73"/>
        <v>2203158.5014576027</v>
      </c>
      <c r="Q114" s="182">
        <f t="shared" si="73"/>
        <v>1098679.6782661509</v>
      </c>
      <c r="R114" s="182">
        <f t="shared" si="73"/>
        <v>1000184.9656222686</v>
      </c>
      <c r="T114" s="182">
        <f t="shared" si="69"/>
        <v>2285231.2141014845</v>
      </c>
      <c r="U114" s="182">
        <f t="shared" si="62"/>
        <v>2190836.5014576027</v>
      </c>
      <c r="V114" s="182">
        <f t="shared" si="62"/>
        <v>1083544.6782661509</v>
      </c>
      <c r="W114" s="195">
        <f t="shared" si="62"/>
        <v>989148.96562226862</v>
      </c>
      <c r="Y114" s="182">
        <f t="shared" si="70"/>
        <v>2271087.2141014845</v>
      </c>
      <c r="Z114" s="182">
        <f t="shared" si="63"/>
        <v>2181610.5014576027</v>
      </c>
      <c r="AA114" s="182">
        <f t="shared" si="63"/>
        <v>1070943.6782661509</v>
      </c>
      <c r="AB114" s="195">
        <f t="shared" si="63"/>
        <v>981466.96562226862</v>
      </c>
      <c r="AD114" s="195">
        <f t="shared" si="71"/>
        <v>526217.36490484304</v>
      </c>
      <c r="AE114" s="195">
        <f t="shared" si="64"/>
        <v>564532.12923376122</v>
      </c>
      <c r="AF114" s="184">
        <f t="shared" si="64"/>
        <v>-632561.03286329051</v>
      </c>
      <c r="AG114" s="184">
        <f t="shared" si="64"/>
        <v>-594246.58853437286</v>
      </c>
      <c r="AI114" s="182">
        <f t="shared" si="67"/>
        <v>1508013.2331805641</v>
      </c>
      <c r="AJ114" s="182">
        <f t="shared" si="65"/>
        <v>1546327.9975094823</v>
      </c>
      <c r="AK114" s="195">
        <f t="shared" si="65"/>
        <v>349234.83541243058</v>
      </c>
      <c r="AL114" s="195">
        <f t="shared" si="65"/>
        <v>387549.27974134823</v>
      </c>
    </row>
    <row r="115" spans="8:38" x14ac:dyDescent="0.3">
      <c r="H115" s="111"/>
      <c r="I115" s="8" t="s">
        <v>837</v>
      </c>
      <c r="J115" s="170">
        <f>$C$79*J106</f>
        <v>1323184.9632044521</v>
      </c>
      <c r="K115" s="170">
        <f t="shared" si="72"/>
        <v>1108136.0921592258</v>
      </c>
      <c r="L115" s="170">
        <f t="shared" si="72"/>
        <v>689311.28381776332</v>
      </c>
      <c r="M115" s="170">
        <f t="shared" si="72"/>
        <v>474262.41277253738</v>
      </c>
      <c r="N115" s="8"/>
      <c r="O115" s="194">
        <f t="shared" si="74"/>
        <v>2315744.7059595482</v>
      </c>
      <c r="P115" s="194">
        <f t="shared" si="73"/>
        <v>2216009.3910647742</v>
      </c>
      <c r="Q115" s="194">
        <f t="shared" si="73"/>
        <v>1104591.4292862369</v>
      </c>
      <c r="R115" s="194">
        <f t="shared" si="73"/>
        <v>1004856.1143914626</v>
      </c>
      <c r="S115" s="8"/>
      <c r="T115" s="194">
        <f t="shared" si="69"/>
        <v>2299322.7059595482</v>
      </c>
      <c r="U115" s="194">
        <f t="shared" si="62"/>
        <v>2203687.3910647742</v>
      </c>
      <c r="V115" s="194">
        <f t="shared" si="62"/>
        <v>1089456.4292862369</v>
      </c>
      <c r="W115" s="196">
        <f t="shared" si="62"/>
        <v>993820.11439146264</v>
      </c>
      <c r="X115" s="8"/>
      <c r="Y115" s="194">
        <f t="shared" si="70"/>
        <v>2285178.7059595482</v>
      </c>
      <c r="Z115" s="194">
        <f t="shared" si="63"/>
        <v>2194461.3910647742</v>
      </c>
      <c r="AA115" s="194">
        <f t="shared" si="63"/>
        <v>1076855.4292862369</v>
      </c>
      <c r="AB115" s="196">
        <f t="shared" si="63"/>
        <v>986138.11439146264</v>
      </c>
      <c r="AC115" s="8"/>
      <c r="AD115" s="196">
        <f t="shared" si="71"/>
        <v>540308.85676290677</v>
      </c>
      <c r="AE115" s="196">
        <f t="shared" si="64"/>
        <v>577383.01884093275</v>
      </c>
      <c r="AF115" s="197">
        <f t="shared" si="64"/>
        <v>-626649.28184320452</v>
      </c>
      <c r="AG115" s="197">
        <f t="shared" si="64"/>
        <v>-589575.43976517883</v>
      </c>
      <c r="AI115" s="194">
        <f t="shared" si="67"/>
        <v>1522104.7250386279</v>
      </c>
      <c r="AJ115" s="194">
        <f t="shared" si="65"/>
        <v>1559178.8871166538</v>
      </c>
      <c r="AK115" s="196">
        <f t="shared" si="65"/>
        <v>355146.58643251657</v>
      </c>
      <c r="AL115" s="196">
        <f t="shared" si="65"/>
        <v>392220.42851054226</v>
      </c>
    </row>
    <row r="116" spans="8:38" x14ac:dyDescent="0.3">
      <c r="H116" s="237"/>
      <c r="I116" s="145" t="s">
        <v>1012</v>
      </c>
      <c r="J116" s="101">
        <f>$C$83*J103</f>
        <v>352896.71861194499</v>
      </c>
      <c r="K116" s="101">
        <f t="shared" ref="K116:M119" si="75">$C$83*K103</f>
        <v>297922.25519674504</v>
      </c>
      <c r="L116" s="101">
        <f t="shared" si="75"/>
        <v>180600.83187197</v>
      </c>
      <c r="M116" s="101">
        <f t="shared" si="75"/>
        <v>125626.36845677</v>
      </c>
      <c r="N116" s="207"/>
      <c r="O116" s="195">
        <f>E$85-J116</f>
        <v>529754.77063405514</v>
      </c>
      <c r="P116" s="195">
        <f t="shared" ref="P116:R119" si="76">F$85-K116</f>
        <v>508375.81263925496</v>
      </c>
      <c r="Q116" s="195">
        <f t="shared" si="76"/>
        <v>254524.61578403003</v>
      </c>
      <c r="R116" s="195">
        <f t="shared" si="76"/>
        <v>233145.65778923003</v>
      </c>
      <c r="S116" s="207"/>
      <c r="T116" s="195">
        <f t="shared" si="69"/>
        <v>513332.77063405514</v>
      </c>
      <c r="U116" s="195">
        <f t="shared" si="62"/>
        <v>496053.81263925496</v>
      </c>
      <c r="V116" s="195">
        <f t="shared" si="62"/>
        <v>239389.61578403003</v>
      </c>
      <c r="W116" s="195">
        <f t="shared" si="62"/>
        <v>222109.65778923003</v>
      </c>
      <c r="X116" s="207"/>
      <c r="Y116" s="195">
        <f t="shared" si="70"/>
        <v>499188.77063405514</v>
      </c>
      <c r="Z116" s="195">
        <f t="shared" si="63"/>
        <v>486827.81263925496</v>
      </c>
      <c r="AA116" s="195">
        <f t="shared" si="63"/>
        <v>226788.61578403003</v>
      </c>
      <c r="AB116" s="195">
        <f t="shared" si="63"/>
        <v>214427.65778923003</v>
      </c>
      <c r="AC116" s="207"/>
      <c r="AD116" s="184">
        <f t="shared" si="71"/>
        <v>-1245681.0785625863</v>
      </c>
      <c r="AE116" s="184">
        <f t="shared" si="64"/>
        <v>-1130250.5595845864</v>
      </c>
      <c r="AF116" s="184">
        <f t="shared" si="64"/>
        <v>-1476716.0953454114</v>
      </c>
      <c r="AG116" s="184">
        <f t="shared" si="64"/>
        <v>-1361285.8963674114</v>
      </c>
      <c r="AI116" s="184">
        <f t="shared" si="67"/>
        <v>-263885.21028686524</v>
      </c>
      <c r="AJ116" s="184">
        <f t="shared" si="65"/>
        <v>-148454.69130886544</v>
      </c>
      <c r="AK116" s="184">
        <f t="shared" si="65"/>
        <v>-494920.22706969024</v>
      </c>
      <c r="AL116" s="184">
        <f t="shared" si="65"/>
        <v>-379490.02809169039</v>
      </c>
    </row>
    <row r="117" spans="8:38" ht="28.8" x14ac:dyDescent="0.3">
      <c r="H117" s="222" t="s">
        <v>921</v>
      </c>
      <c r="I117" s="221" t="s">
        <v>835</v>
      </c>
      <c r="J117" s="101">
        <f>$C$83*J104</f>
        <v>334857.56125953404</v>
      </c>
      <c r="K117" s="101">
        <f t="shared" si="75"/>
        <v>281471.24900966202</v>
      </c>
      <c r="L117" s="101">
        <f t="shared" si="75"/>
        <v>173032.93147123404</v>
      </c>
      <c r="M117" s="101">
        <f t="shared" si="75"/>
        <v>119646.61922136201</v>
      </c>
      <c r="O117" s="195">
        <f>E$85-J117</f>
        <v>547793.92798646609</v>
      </c>
      <c r="P117" s="195">
        <f t="shared" si="76"/>
        <v>524826.81882633804</v>
      </c>
      <c r="Q117" s="195">
        <f t="shared" si="76"/>
        <v>262092.51618476599</v>
      </c>
      <c r="R117" s="195">
        <f t="shared" si="76"/>
        <v>239125.40702463803</v>
      </c>
      <c r="T117" s="195">
        <f t="shared" si="69"/>
        <v>531371.92798646609</v>
      </c>
      <c r="U117" s="195">
        <f t="shared" si="62"/>
        <v>512504.81882633804</v>
      </c>
      <c r="V117" s="195">
        <f t="shared" si="62"/>
        <v>246957.51618476599</v>
      </c>
      <c r="W117" s="195">
        <f t="shared" si="62"/>
        <v>228089.40702463803</v>
      </c>
      <c r="Y117" s="195">
        <f t="shared" si="70"/>
        <v>517227.92798646609</v>
      </c>
      <c r="Z117" s="195">
        <f t="shared" si="63"/>
        <v>503278.81882633804</v>
      </c>
      <c r="AA117" s="195">
        <f t="shared" si="63"/>
        <v>234356.51618476599</v>
      </c>
      <c r="AB117" s="195">
        <f t="shared" si="63"/>
        <v>220407.40702463803</v>
      </c>
      <c r="AD117" s="184">
        <f t="shared" si="71"/>
        <v>-1227641.9212101754</v>
      </c>
      <c r="AE117" s="184">
        <f t="shared" si="64"/>
        <v>-1113799.5533975034</v>
      </c>
      <c r="AF117" s="184">
        <f t="shared" si="64"/>
        <v>-1469148.1949446753</v>
      </c>
      <c r="AG117" s="184">
        <f t="shared" si="64"/>
        <v>-1355306.1471320034</v>
      </c>
      <c r="AI117" s="184">
        <f t="shared" si="67"/>
        <v>-245846.05293445429</v>
      </c>
      <c r="AJ117" s="184">
        <f t="shared" si="65"/>
        <v>-132003.68512178236</v>
      </c>
      <c r="AK117" s="184">
        <f t="shared" si="65"/>
        <v>-487352.32666895434</v>
      </c>
      <c r="AL117" s="184">
        <f t="shared" si="65"/>
        <v>-373510.27885628236</v>
      </c>
    </row>
    <row r="118" spans="8:38" x14ac:dyDescent="0.3">
      <c r="H118" s="222"/>
      <c r="I118" s="221" t="s">
        <v>836</v>
      </c>
      <c r="J118" s="101">
        <f>$C$83*J105</f>
        <v>324367.09744536277</v>
      </c>
      <c r="K118" s="101">
        <f t="shared" si="75"/>
        <v>271904.35618086607</v>
      </c>
      <c r="L118" s="101">
        <f t="shared" si="75"/>
        <v>168631.90631511371</v>
      </c>
      <c r="M118" s="101">
        <f t="shared" si="75"/>
        <v>116169.16505061704</v>
      </c>
      <c r="O118" s="195">
        <f t="shared" ref="O118:O119" si="77">E$85-J118</f>
        <v>558284.39180063736</v>
      </c>
      <c r="P118" s="195">
        <f t="shared" si="76"/>
        <v>534393.71165513387</v>
      </c>
      <c r="Q118" s="195">
        <f t="shared" si="76"/>
        <v>266493.54134088632</v>
      </c>
      <c r="R118" s="195">
        <f t="shared" si="76"/>
        <v>242602.86119538298</v>
      </c>
      <c r="T118" s="195">
        <f t="shared" si="69"/>
        <v>541862.39180063736</v>
      </c>
      <c r="U118" s="195">
        <f t="shared" si="62"/>
        <v>522071.71165513387</v>
      </c>
      <c r="V118" s="195">
        <f t="shared" si="62"/>
        <v>251358.54134088632</v>
      </c>
      <c r="W118" s="195">
        <f t="shared" si="62"/>
        <v>231566.86119538298</v>
      </c>
      <c r="Y118" s="195">
        <f t="shared" si="70"/>
        <v>527718.39180063736</v>
      </c>
      <c r="Z118" s="195">
        <f t="shared" si="63"/>
        <v>512845.71165513387</v>
      </c>
      <c r="AA118" s="195">
        <f t="shared" si="63"/>
        <v>238757.54134088632</v>
      </c>
      <c r="AB118" s="195">
        <f t="shared" si="63"/>
        <v>223884.86119538298</v>
      </c>
      <c r="AD118" s="184">
        <f t="shared" si="71"/>
        <v>-1217151.4573960041</v>
      </c>
      <c r="AE118" s="184">
        <f t="shared" si="64"/>
        <v>-1104232.6605687076</v>
      </c>
      <c r="AF118" s="184">
        <f t="shared" si="64"/>
        <v>-1464747.169788555</v>
      </c>
      <c r="AG118" s="184">
        <f t="shared" si="64"/>
        <v>-1351828.6929612586</v>
      </c>
      <c r="AI118" s="184">
        <f t="shared" si="67"/>
        <v>-235355.58912028302</v>
      </c>
      <c r="AJ118" s="184">
        <f t="shared" si="65"/>
        <v>-122436.79229298653</v>
      </c>
      <c r="AK118" s="184">
        <f t="shared" si="65"/>
        <v>-482951.30151283398</v>
      </c>
      <c r="AL118" s="184">
        <f t="shared" si="65"/>
        <v>-370032.82468553737</v>
      </c>
    </row>
    <row r="119" spans="8:38" x14ac:dyDescent="0.3">
      <c r="H119" s="111"/>
      <c r="I119" s="8" t="s">
        <v>837</v>
      </c>
      <c r="J119" s="170">
        <f>$C$83*J106</f>
        <v>320949.09341532743</v>
      </c>
      <c r="K119" s="170">
        <f t="shared" si="75"/>
        <v>268787.27014701813</v>
      </c>
      <c r="L119" s="170">
        <f t="shared" si="75"/>
        <v>167197.96383302964</v>
      </c>
      <c r="M119" s="170">
        <f t="shared" si="75"/>
        <v>115036.14056472036</v>
      </c>
      <c r="N119" s="8"/>
      <c r="O119" s="196">
        <f t="shared" si="77"/>
        <v>561702.3958306727</v>
      </c>
      <c r="P119" s="196">
        <f t="shared" si="76"/>
        <v>537510.79768898187</v>
      </c>
      <c r="Q119" s="196">
        <f t="shared" si="76"/>
        <v>267927.48382297042</v>
      </c>
      <c r="R119" s="196">
        <f t="shared" si="76"/>
        <v>243735.88568127964</v>
      </c>
      <c r="S119" s="8"/>
      <c r="T119" s="196">
        <f t="shared" si="69"/>
        <v>545280.3958306727</v>
      </c>
      <c r="U119" s="196">
        <f t="shared" si="62"/>
        <v>525188.79768898187</v>
      </c>
      <c r="V119" s="196">
        <f t="shared" si="62"/>
        <v>252792.48382297042</v>
      </c>
      <c r="W119" s="196">
        <f t="shared" si="62"/>
        <v>232699.88568127964</v>
      </c>
      <c r="X119" s="8"/>
      <c r="Y119" s="196">
        <f t="shared" si="70"/>
        <v>531136.3958306727</v>
      </c>
      <c r="Z119" s="196">
        <f t="shared" si="63"/>
        <v>515962.79768898187</v>
      </c>
      <c r="AA119" s="196">
        <f t="shared" si="63"/>
        <v>240191.48382297042</v>
      </c>
      <c r="AB119" s="196">
        <f t="shared" si="63"/>
        <v>225017.88568127964</v>
      </c>
      <c r="AC119" s="8"/>
      <c r="AD119" s="197">
        <f t="shared" si="71"/>
        <v>-1213733.4533659688</v>
      </c>
      <c r="AE119" s="197">
        <f t="shared" si="64"/>
        <v>-1101115.5745348595</v>
      </c>
      <c r="AF119" s="197">
        <f t="shared" si="64"/>
        <v>-1463313.227306471</v>
      </c>
      <c r="AG119" s="197">
        <f t="shared" si="64"/>
        <v>-1350695.6684753618</v>
      </c>
      <c r="AI119" s="197">
        <f t="shared" si="67"/>
        <v>-231937.58509024768</v>
      </c>
      <c r="AJ119" s="197">
        <f t="shared" si="65"/>
        <v>-119319.70625913853</v>
      </c>
      <c r="AK119" s="197">
        <f t="shared" si="65"/>
        <v>-481517.35903074988</v>
      </c>
      <c r="AL119" s="197">
        <f t="shared" si="65"/>
        <v>-368899.80019964074</v>
      </c>
    </row>
    <row r="120" spans="8:38" x14ac:dyDescent="0.3">
      <c r="H120" s="237"/>
      <c r="I120" s="145" t="s">
        <v>1012</v>
      </c>
      <c r="J120" s="101">
        <f>$C$87*J103</f>
        <v>45101.484985529998</v>
      </c>
      <c r="K120" s="101">
        <f t="shared" ref="K120:M123" si="78">$C$87*K103</f>
        <v>38075.548484730003</v>
      </c>
      <c r="L120" s="101">
        <f t="shared" si="78"/>
        <v>23081.44359938</v>
      </c>
      <c r="M120" s="101">
        <f t="shared" si="78"/>
        <v>16055.507098580001</v>
      </c>
      <c r="N120" s="207"/>
      <c r="O120" s="183">
        <f>E$89-J120</f>
        <v>67704.587698470015</v>
      </c>
      <c r="P120" s="183">
        <f t="shared" ref="P120:R123" si="79">F$89-K120</f>
        <v>64972.279059270011</v>
      </c>
      <c r="Q120" s="183">
        <f t="shared" si="79"/>
        <v>32529.172224620008</v>
      </c>
      <c r="R120" s="183">
        <f t="shared" si="79"/>
        <v>29796.86358542</v>
      </c>
      <c r="S120" s="207"/>
      <c r="T120" s="183">
        <f t="shared" si="69"/>
        <v>51282.587698470015</v>
      </c>
      <c r="U120" s="183">
        <f t="shared" si="62"/>
        <v>52650.279059270011</v>
      </c>
      <c r="V120" s="183">
        <f t="shared" si="62"/>
        <v>17394.172224620008</v>
      </c>
      <c r="W120" s="183">
        <f t="shared" si="62"/>
        <v>18760.86358542</v>
      </c>
      <c r="X120" s="207"/>
      <c r="Y120" s="183">
        <f t="shared" si="70"/>
        <v>37138.587698470015</v>
      </c>
      <c r="Z120" s="183">
        <f t="shared" si="63"/>
        <v>43424.279059270011</v>
      </c>
      <c r="AA120" s="184">
        <f t="shared" si="63"/>
        <v>4793.1722246200079</v>
      </c>
      <c r="AB120" s="183">
        <f t="shared" si="63"/>
        <v>11078.86358542</v>
      </c>
      <c r="AC120" s="207"/>
      <c r="AD120" s="184">
        <f t="shared" si="71"/>
        <v>-1707731.2614981714</v>
      </c>
      <c r="AE120" s="184">
        <f t="shared" si="64"/>
        <v>-1573654.0931645716</v>
      </c>
      <c r="AF120" s="184">
        <f t="shared" si="64"/>
        <v>-1698711.5389048215</v>
      </c>
      <c r="AG120" s="184">
        <f t="shared" si="64"/>
        <v>-1564634.6905712215</v>
      </c>
      <c r="AI120" s="184">
        <f t="shared" si="67"/>
        <v>-725935.3932224504</v>
      </c>
      <c r="AJ120" s="184">
        <f t="shared" si="65"/>
        <v>-591858.22488885035</v>
      </c>
      <c r="AK120" s="184">
        <f t="shared" si="65"/>
        <v>-716915.67062910029</v>
      </c>
      <c r="AL120" s="184">
        <f t="shared" si="65"/>
        <v>-582838.82229550043</v>
      </c>
    </row>
    <row r="121" spans="8:38" ht="28.8" x14ac:dyDescent="0.3">
      <c r="H121" s="222" t="s">
        <v>922</v>
      </c>
      <c r="I121" s="221" t="s">
        <v>835</v>
      </c>
      <c r="J121" s="101">
        <f>$C$87*J104</f>
        <v>42796.015023436004</v>
      </c>
      <c r="K121" s="101">
        <f t="shared" si="78"/>
        <v>35973.050021547999</v>
      </c>
      <c r="L121" s="101">
        <f t="shared" si="78"/>
        <v>22114.238385236007</v>
      </c>
      <c r="M121" s="101">
        <f t="shared" si="78"/>
        <v>15291.273383348002</v>
      </c>
      <c r="O121" s="183">
        <f>E$89-J121</f>
        <v>70010.057660564009</v>
      </c>
      <c r="P121" s="183">
        <f t="shared" si="79"/>
        <v>67074.777522452016</v>
      </c>
      <c r="Q121" s="183">
        <f t="shared" si="79"/>
        <v>33496.377438764001</v>
      </c>
      <c r="R121" s="183">
        <f t="shared" si="79"/>
        <v>30561.097300652</v>
      </c>
      <c r="T121" s="183">
        <f t="shared" si="69"/>
        <v>53588.057660564009</v>
      </c>
      <c r="U121" s="183">
        <f t="shared" si="62"/>
        <v>54752.777522452016</v>
      </c>
      <c r="V121" s="183">
        <f t="shared" si="62"/>
        <v>18361.377438764001</v>
      </c>
      <c r="W121" s="183">
        <f t="shared" si="62"/>
        <v>19525.097300652</v>
      </c>
      <c r="Y121" s="183">
        <f t="shared" si="70"/>
        <v>39444.057660564009</v>
      </c>
      <c r="Z121" s="183">
        <f t="shared" si="63"/>
        <v>45526.777522452016</v>
      </c>
      <c r="AA121" s="184">
        <f t="shared" si="63"/>
        <v>5760.3774387640005</v>
      </c>
      <c r="AB121" s="183">
        <f t="shared" si="63"/>
        <v>11843.097300652</v>
      </c>
      <c r="AD121" s="184">
        <f t="shared" si="71"/>
        <v>-1705425.7915360774</v>
      </c>
      <c r="AE121" s="184">
        <f t="shared" si="64"/>
        <v>-1571551.5947013895</v>
      </c>
      <c r="AF121" s="184">
        <f t="shared" si="64"/>
        <v>-1697744.3336906773</v>
      </c>
      <c r="AG121" s="184">
        <f t="shared" si="64"/>
        <v>-1563870.4568559895</v>
      </c>
      <c r="AI121" s="184">
        <f t="shared" si="67"/>
        <v>-723629.92326035642</v>
      </c>
      <c r="AJ121" s="184">
        <f t="shared" si="65"/>
        <v>-589755.72642566834</v>
      </c>
      <c r="AK121" s="184">
        <f t="shared" si="65"/>
        <v>-715948.46541495633</v>
      </c>
      <c r="AL121" s="184">
        <f t="shared" si="65"/>
        <v>-582074.58858026844</v>
      </c>
    </row>
    <row r="122" spans="8:38" x14ac:dyDescent="0.3">
      <c r="H122" s="222"/>
      <c r="I122" s="221" t="s">
        <v>836</v>
      </c>
      <c r="J122" s="101">
        <f>$C$87*J105</f>
        <v>41455.295568556729</v>
      </c>
      <c r="K122" s="101">
        <f t="shared" si="78"/>
        <v>34750.366299882167</v>
      </c>
      <c r="L122" s="101">
        <f t="shared" si="78"/>
        <v>21551.771353010725</v>
      </c>
      <c r="M122" s="101">
        <f t="shared" si="78"/>
        <v>14846.842084336162</v>
      </c>
      <c r="O122" s="183">
        <f t="shared" ref="O122:O123" si="80">E$89-J122</f>
        <v>71350.777115443285</v>
      </c>
      <c r="P122" s="183">
        <f t="shared" si="79"/>
        <v>68297.461244117847</v>
      </c>
      <c r="Q122" s="183">
        <f t="shared" si="79"/>
        <v>34058.844470989279</v>
      </c>
      <c r="R122" s="183">
        <f t="shared" si="79"/>
        <v>31005.528599663841</v>
      </c>
      <c r="T122" s="183">
        <f t="shared" si="69"/>
        <v>54928.777115443285</v>
      </c>
      <c r="U122" s="183">
        <f t="shared" si="62"/>
        <v>55975.461244117847</v>
      </c>
      <c r="V122" s="183">
        <f t="shared" si="62"/>
        <v>18923.844470989279</v>
      </c>
      <c r="W122" s="183">
        <f t="shared" si="62"/>
        <v>19969.528599663841</v>
      </c>
      <c r="Y122" s="183">
        <f t="shared" si="70"/>
        <v>40784.777115443285</v>
      </c>
      <c r="Z122" s="183">
        <f t="shared" si="63"/>
        <v>46749.461244117847</v>
      </c>
      <c r="AA122" s="184">
        <f t="shared" si="63"/>
        <v>6322.8444709892792</v>
      </c>
      <c r="AB122" s="183">
        <f t="shared" si="63"/>
        <v>12287.528599663841</v>
      </c>
      <c r="AD122" s="184">
        <f t="shared" si="71"/>
        <v>-1704085.0720811982</v>
      </c>
      <c r="AE122" s="184">
        <f t="shared" si="64"/>
        <v>-1570328.9109797236</v>
      </c>
      <c r="AF122" s="184">
        <f t="shared" si="64"/>
        <v>-1697181.8666584522</v>
      </c>
      <c r="AG122" s="184">
        <f t="shared" si="64"/>
        <v>-1563426.0255569776</v>
      </c>
      <c r="AI122" s="184">
        <f t="shared" si="67"/>
        <v>-722289.20380547713</v>
      </c>
      <c r="AJ122" s="184">
        <f t="shared" si="65"/>
        <v>-588533.04270400258</v>
      </c>
      <c r="AK122" s="184">
        <f t="shared" si="65"/>
        <v>-715385.99838273099</v>
      </c>
      <c r="AL122" s="184">
        <f t="shared" si="65"/>
        <v>-581630.15728125651</v>
      </c>
    </row>
    <row r="123" spans="8:38" x14ac:dyDescent="0.3">
      <c r="H123" s="111"/>
      <c r="I123" s="8" t="s">
        <v>837</v>
      </c>
      <c r="J123" s="170">
        <f>$C$87*J106</f>
        <v>41018.46221389289</v>
      </c>
      <c r="K123" s="170">
        <f t="shared" si="78"/>
        <v>34351.991360304477</v>
      </c>
      <c r="L123" s="170">
        <f t="shared" si="78"/>
        <v>21368.508285050761</v>
      </c>
      <c r="M123" s="170">
        <f t="shared" si="78"/>
        <v>14702.037431462357</v>
      </c>
      <c r="N123" s="8"/>
      <c r="O123" s="193">
        <f t="shared" si="80"/>
        <v>71787.610470107116</v>
      </c>
      <c r="P123" s="193">
        <f t="shared" si="79"/>
        <v>68695.83618369553</v>
      </c>
      <c r="Q123" s="193">
        <f t="shared" si="79"/>
        <v>34242.107538949247</v>
      </c>
      <c r="R123" s="193">
        <f t="shared" si="79"/>
        <v>31150.333252537646</v>
      </c>
      <c r="S123" s="8"/>
      <c r="T123" s="193">
        <f t="shared" si="69"/>
        <v>55365.610470107116</v>
      </c>
      <c r="U123" s="193">
        <f t="shared" si="62"/>
        <v>56373.83618369553</v>
      </c>
      <c r="V123" s="193">
        <f t="shared" si="62"/>
        <v>19107.107538949247</v>
      </c>
      <c r="W123" s="193">
        <f t="shared" si="62"/>
        <v>20114.333252537646</v>
      </c>
      <c r="X123" s="8"/>
      <c r="Y123" s="193">
        <f t="shared" si="70"/>
        <v>41221.610470107116</v>
      </c>
      <c r="Z123" s="193">
        <f t="shared" si="63"/>
        <v>47147.83618369553</v>
      </c>
      <c r="AA123" s="197">
        <f t="shared" si="63"/>
        <v>6506.1075389492471</v>
      </c>
      <c r="AB123" s="193">
        <f t="shared" si="63"/>
        <v>12432.333252537646</v>
      </c>
      <c r="AC123" s="8"/>
      <c r="AD123" s="197">
        <f t="shared" si="71"/>
        <v>-1703648.2387265344</v>
      </c>
      <c r="AE123" s="197">
        <f t="shared" si="64"/>
        <v>-1569930.5360401459</v>
      </c>
      <c r="AF123" s="197">
        <f t="shared" si="64"/>
        <v>-1696998.6035904922</v>
      </c>
      <c r="AG123" s="197">
        <f t="shared" si="64"/>
        <v>-1563281.2209041039</v>
      </c>
      <c r="AI123" s="197">
        <f t="shared" si="67"/>
        <v>-721852.37045081332</v>
      </c>
      <c r="AJ123" s="197">
        <f t="shared" si="65"/>
        <v>-588134.66776442481</v>
      </c>
      <c r="AK123" s="197">
        <f t="shared" si="65"/>
        <v>-715202.73531477107</v>
      </c>
      <c r="AL123" s="197">
        <f t="shared" si="65"/>
        <v>-581485.35262838274</v>
      </c>
    </row>
    <row r="124" spans="8:38" x14ac:dyDescent="0.3">
      <c r="H124" s="237"/>
      <c r="I124" s="145" t="s">
        <v>1012</v>
      </c>
      <c r="J124" s="101">
        <f>$C$91*J103</f>
        <v>3285.5386413299998</v>
      </c>
      <c r="K124" s="101">
        <f t="shared" ref="K124:M127" si="81">$C$91*K103</f>
        <v>2773.7154525300002</v>
      </c>
      <c r="L124" s="101">
        <f t="shared" si="81"/>
        <v>1681.4296661799999</v>
      </c>
      <c r="M124" s="101">
        <f t="shared" si="81"/>
        <v>1169.6064773799999</v>
      </c>
      <c r="N124" s="207"/>
      <c r="O124" s="184">
        <f>E$93-J124</f>
        <v>4932.1222826699995</v>
      </c>
      <c r="P124" s="184">
        <f t="shared" ref="P124:R127" si="82">F$93-K124</f>
        <v>4733.0799314699998</v>
      </c>
      <c r="Q124" s="184">
        <f t="shared" si="82"/>
        <v>2369.6747978200001</v>
      </c>
      <c r="R124" s="184">
        <f t="shared" si="82"/>
        <v>2170.6324466199999</v>
      </c>
      <c r="S124" s="207"/>
      <c r="T124" s="184">
        <f t="shared" si="69"/>
        <v>-11489.87771733</v>
      </c>
      <c r="U124" s="184">
        <f t="shared" si="69"/>
        <v>-7588.9200685300002</v>
      </c>
      <c r="V124" s="184">
        <f t="shared" si="69"/>
        <v>-12765.32520218</v>
      </c>
      <c r="W124" s="184">
        <f t="shared" si="69"/>
        <v>-8865.3675533799997</v>
      </c>
      <c r="X124" s="207"/>
      <c r="Y124" s="184">
        <f t="shared" si="70"/>
        <v>-25633.87771733</v>
      </c>
      <c r="Z124" s="184">
        <f t="shared" si="70"/>
        <v>-16814.920068530002</v>
      </c>
      <c r="AA124" s="184">
        <f t="shared" si="70"/>
        <v>-25366.32520218</v>
      </c>
      <c r="AB124" s="184">
        <f t="shared" si="70"/>
        <v>-16547.367553380001</v>
      </c>
      <c r="AC124" s="207"/>
      <c r="AD124" s="184">
        <f t="shared" si="71"/>
        <v>-1770503.7269139714</v>
      </c>
      <c r="AE124" s="184">
        <f t="shared" si="71"/>
        <v>-1633893.2922923714</v>
      </c>
      <c r="AF124" s="184">
        <f t="shared" si="71"/>
        <v>-1728871.0363316215</v>
      </c>
      <c r="AG124" s="184">
        <f t="shared" si="71"/>
        <v>-1592260.9217100216</v>
      </c>
      <c r="AI124" s="184">
        <f t="shared" si="67"/>
        <v>-788707.85863825039</v>
      </c>
      <c r="AJ124" s="184">
        <f t="shared" si="65"/>
        <v>-652097.42401665042</v>
      </c>
      <c r="AK124" s="184">
        <f t="shared" si="65"/>
        <v>-747075.16805590026</v>
      </c>
      <c r="AL124" s="184">
        <f t="shared" si="65"/>
        <v>-610465.05343430035</v>
      </c>
    </row>
    <row r="125" spans="8:38" ht="28.8" x14ac:dyDescent="0.3">
      <c r="H125" s="222" t="s">
        <v>923</v>
      </c>
      <c r="I125" s="221" t="s">
        <v>835</v>
      </c>
      <c r="J125" s="101">
        <f>$C$91*J104</f>
        <v>3117.5904983959999</v>
      </c>
      <c r="K125" s="101">
        <f t="shared" si="81"/>
        <v>2620.5533128279999</v>
      </c>
      <c r="L125" s="101">
        <f t="shared" si="81"/>
        <v>1610.9710081960002</v>
      </c>
      <c r="M125" s="101">
        <f t="shared" si="81"/>
        <v>1113.9338226279999</v>
      </c>
      <c r="O125" s="184">
        <f>E$93-J125</f>
        <v>5100.0704256039999</v>
      </c>
      <c r="P125" s="184">
        <f t="shared" si="82"/>
        <v>4886.2420711720006</v>
      </c>
      <c r="Q125" s="184">
        <f t="shared" si="82"/>
        <v>2440.1334558039998</v>
      </c>
      <c r="R125" s="184">
        <f t="shared" si="82"/>
        <v>2226.3051013719996</v>
      </c>
      <c r="T125" s="184">
        <f t="shared" si="69"/>
        <v>-11321.929574395999</v>
      </c>
      <c r="U125" s="184">
        <f t="shared" si="69"/>
        <v>-7435.7579288279994</v>
      </c>
      <c r="V125" s="184">
        <f t="shared" si="69"/>
        <v>-12694.866544196</v>
      </c>
      <c r="W125" s="184">
        <f t="shared" si="69"/>
        <v>-8809.6948986280004</v>
      </c>
      <c r="Y125" s="184">
        <f t="shared" si="70"/>
        <v>-25465.929574395999</v>
      </c>
      <c r="Z125" s="184">
        <f t="shared" si="70"/>
        <v>-16661.757928827999</v>
      </c>
      <c r="AA125" s="184">
        <f t="shared" si="70"/>
        <v>-25295.866544196</v>
      </c>
      <c r="AB125" s="184">
        <f t="shared" si="70"/>
        <v>-16491.694898628</v>
      </c>
      <c r="AD125" s="184">
        <f t="shared" si="71"/>
        <v>-1770335.7787710375</v>
      </c>
      <c r="AE125" s="184">
        <f t="shared" si="71"/>
        <v>-1633740.1301526695</v>
      </c>
      <c r="AF125" s="184">
        <f t="shared" si="71"/>
        <v>-1728800.5776736373</v>
      </c>
      <c r="AG125" s="184">
        <f t="shared" si="71"/>
        <v>-1592205.2490552694</v>
      </c>
      <c r="AI125" s="184">
        <f t="shared" si="67"/>
        <v>-788539.91049531638</v>
      </c>
      <c r="AJ125" s="184">
        <f t="shared" si="65"/>
        <v>-651944.26187694841</v>
      </c>
      <c r="AK125" s="184">
        <f t="shared" si="65"/>
        <v>-747004.70939791633</v>
      </c>
      <c r="AL125" s="184">
        <f t="shared" si="65"/>
        <v>-610409.38077954843</v>
      </c>
    </row>
    <row r="126" spans="8:38" x14ac:dyDescent="0.3">
      <c r="H126" s="222"/>
      <c r="I126" s="221" t="s">
        <v>836</v>
      </c>
      <c r="J126" s="101">
        <f>$C$91*J105</f>
        <v>3019.9221937359202</v>
      </c>
      <c r="K126" s="101">
        <f t="shared" si="81"/>
        <v>2531.4836377397601</v>
      </c>
      <c r="L126" s="101">
        <f t="shared" si="81"/>
        <v>1569.9965886299201</v>
      </c>
      <c r="M126" s="101">
        <f t="shared" si="81"/>
        <v>1081.5580326337599</v>
      </c>
      <c r="O126" s="184">
        <f t="shared" ref="O126:O127" si="83">E$93-J126</f>
        <v>5197.73873026408</v>
      </c>
      <c r="P126" s="184">
        <f t="shared" si="82"/>
        <v>4975.3117462602404</v>
      </c>
      <c r="Q126" s="184">
        <f t="shared" si="82"/>
        <v>2481.1078753700799</v>
      </c>
      <c r="R126" s="184">
        <f t="shared" si="82"/>
        <v>2258.6808913662398</v>
      </c>
      <c r="T126" s="184">
        <f t="shared" si="69"/>
        <v>-11224.26126973592</v>
      </c>
      <c r="U126" s="184">
        <f t="shared" si="69"/>
        <v>-7346.6882537397596</v>
      </c>
      <c r="V126" s="184">
        <f t="shared" si="69"/>
        <v>-12653.89212462992</v>
      </c>
      <c r="W126" s="184">
        <f t="shared" si="69"/>
        <v>-8777.3191086337611</v>
      </c>
      <c r="Y126" s="184">
        <f t="shared" si="70"/>
        <v>-25368.261269735922</v>
      </c>
      <c r="Z126" s="184">
        <f t="shared" si="70"/>
        <v>-16572.688253739761</v>
      </c>
      <c r="AA126" s="184">
        <f t="shared" si="70"/>
        <v>-25254.892124629921</v>
      </c>
      <c r="AB126" s="184">
        <f t="shared" si="70"/>
        <v>-16459.319108633761</v>
      </c>
      <c r="AD126" s="184">
        <f t="shared" si="71"/>
        <v>-1770238.1104663773</v>
      </c>
      <c r="AE126" s="184">
        <f t="shared" si="71"/>
        <v>-1633651.0604775813</v>
      </c>
      <c r="AF126" s="184">
        <f t="shared" si="71"/>
        <v>-1728759.6032540712</v>
      </c>
      <c r="AG126" s="184">
        <f t="shared" si="71"/>
        <v>-1592172.8732652753</v>
      </c>
      <c r="AI126" s="184">
        <f t="shared" si="67"/>
        <v>-788442.24219065625</v>
      </c>
      <c r="AJ126" s="184">
        <f t="shared" si="65"/>
        <v>-651855.19220186013</v>
      </c>
      <c r="AK126" s="184">
        <f t="shared" si="65"/>
        <v>-746963.73497835023</v>
      </c>
      <c r="AL126" s="184">
        <f t="shared" si="65"/>
        <v>-610377.00498955417</v>
      </c>
    </row>
    <row r="127" spans="8:38" x14ac:dyDescent="0.3">
      <c r="H127" s="111"/>
      <c r="I127" s="8" t="s">
        <v>837</v>
      </c>
      <c r="J127" s="170">
        <f>$C$91*J106</f>
        <v>2988.0998963763027</v>
      </c>
      <c r="K127" s="170">
        <f t="shared" si="81"/>
        <v>2502.4629467771474</v>
      </c>
      <c r="L127" s="170">
        <f t="shared" si="81"/>
        <v>1556.6462989109825</v>
      </c>
      <c r="M127" s="170">
        <f t="shared" si="81"/>
        <v>1071.0093493118272</v>
      </c>
      <c r="N127" s="8"/>
      <c r="O127" s="197">
        <f t="shared" si="83"/>
        <v>5229.5610276236966</v>
      </c>
      <c r="P127" s="197">
        <f t="shared" si="82"/>
        <v>5004.3324372228526</v>
      </c>
      <c r="Q127" s="197">
        <f t="shared" si="82"/>
        <v>2494.4581650890177</v>
      </c>
      <c r="R127" s="197">
        <f t="shared" si="82"/>
        <v>2269.2295746881728</v>
      </c>
      <c r="S127" s="8"/>
      <c r="T127" s="197">
        <f t="shared" si="69"/>
        <v>-11192.438972376303</v>
      </c>
      <c r="U127" s="197">
        <f t="shared" si="69"/>
        <v>-7317.6675627771474</v>
      </c>
      <c r="V127" s="197">
        <f t="shared" si="69"/>
        <v>-12640.541834910982</v>
      </c>
      <c r="W127" s="197">
        <f t="shared" si="69"/>
        <v>-8766.7704253118281</v>
      </c>
      <c r="X127" s="8"/>
      <c r="Y127" s="197">
        <f t="shared" si="70"/>
        <v>-25336.438972376302</v>
      </c>
      <c r="Z127" s="197">
        <f t="shared" si="70"/>
        <v>-16543.667562777147</v>
      </c>
      <c r="AA127" s="197">
        <f t="shared" si="70"/>
        <v>-25241.541834910982</v>
      </c>
      <c r="AB127" s="197">
        <f t="shared" si="70"/>
        <v>-16448.770425311828</v>
      </c>
      <c r="AC127" s="8"/>
      <c r="AD127" s="197">
        <f t="shared" si="71"/>
        <v>-1770206.2881690178</v>
      </c>
      <c r="AE127" s="197">
        <f t="shared" si="71"/>
        <v>-1633622.0397866187</v>
      </c>
      <c r="AF127" s="197">
        <f t="shared" si="71"/>
        <v>-1728746.2529643523</v>
      </c>
      <c r="AG127" s="197">
        <f t="shared" si="71"/>
        <v>-1592162.3245819532</v>
      </c>
      <c r="AI127" s="197">
        <f t="shared" si="67"/>
        <v>-788410.41989329667</v>
      </c>
      <c r="AJ127" s="197">
        <f t="shared" si="65"/>
        <v>-651826.17151089758</v>
      </c>
      <c r="AK127" s="197">
        <f t="shared" si="65"/>
        <v>-746950.38468863128</v>
      </c>
      <c r="AL127" s="197">
        <f t="shared" si="65"/>
        <v>-610366.45630623226</v>
      </c>
    </row>
    <row r="128" spans="8:38" x14ac:dyDescent="0.3">
      <c r="H128" s="237"/>
      <c r="I128" s="145" t="s">
        <v>1012</v>
      </c>
      <c r="J128" s="101">
        <f>$C$95*J103</f>
        <v>448.02799654499995</v>
      </c>
      <c r="K128" s="101">
        <f t="shared" ref="K128:M131" si="84">$C$95*K103</f>
        <v>378.23392534500005</v>
      </c>
      <c r="L128" s="101">
        <f t="shared" si="84"/>
        <v>229.28586357</v>
      </c>
      <c r="M128" s="101">
        <f t="shared" si="84"/>
        <v>159.49179237000001</v>
      </c>
      <c r="N128" s="207"/>
      <c r="O128" s="184">
        <f>E$97-J128</f>
        <v>672.5621294550001</v>
      </c>
      <c r="P128" s="184">
        <f t="shared" ref="P128:R131" si="85">F$97-K128</f>
        <v>645.41999065499999</v>
      </c>
      <c r="Q128" s="184">
        <f t="shared" si="85"/>
        <v>323.13747243000006</v>
      </c>
      <c r="R128" s="184">
        <f t="shared" si="85"/>
        <v>295.99533363</v>
      </c>
      <c r="S128" s="207"/>
      <c r="T128" s="184">
        <f t="shared" si="69"/>
        <v>-15749.437870545</v>
      </c>
      <c r="U128" s="184">
        <f t="shared" si="69"/>
        <v>-11676.580009345</v>
      </c>
      <c r="V128" s="184">
        <f t="shared" si="69"/>
        <v>-14811.86252757</v>
      </c>
      <c r="W128" s="184">
        <f t="shared" si="69"/>
        <v>-10740.00466637</v>
      </c>
      <c r="X128" s="207"/>
      <c r="Y128" s="184">
        <f t="shared" si="70"/>
        <v>-29893.437870545</v>
      </c>
      <c r="Z128" s="184">
        <f t="shared" si="70"/>
        <v>-20902.580009345002</v>
      </c>
      <c r="AA128" s="184">
        <f t="shared" si="70"/>
        <v>-27412.86252757</v>
      </c>
      <c r="AB128" s="184">
        <f t="shared" si="70"/>
        <v>-18422.004666370001</v>
      </c>
      <c r="AC128" s="207"/>
      <c r="AD128" s="184">
        <f t="shared" si="71"/>
        <v>-1774763.2870671866</v>
      </c>
      <c r="AE128" s="184">
        <f t="shared" si="71"/>
        <v>-1637980.9522331865</v>
      </c>
      <c r="AF128" s="184">
        <f t="shared" si="71"/>
        <v>-1730917.5736570114</v>
      </c>
      <c r="AG128" s="184">
        <f t="shared" si="71"/>
        <v>-1594135.5588230116</v>
      </c>
      <c r="AI128" s="184">
        <f t="shared" si="67"/>
        <v>-792967.41879146534</v>
      </c>
      <c r="AJ128" s="184">
        <f t="shared" si="65"/>
        <v>-656185.08395746537</v>
      </c>
      <c r="AK128" s="184">
        <f t="shared" si="65"/>
        <v>-749121.70538129029</v>
      </c>
      <c r="AL128" s="184">
        <f t="shared" si="65"/>
        <v>-612339.69054729037</v>
      </c>
    </row>
    <row r="129" spans="8:38" x14ac:dyDescent="0.3">
      <c r="H129" s="222" t="s">
        <v>827</v>
      </c>
      <c r="I129" s="221" t="s">
        <v>835</v>
      </c>
      <c r="J129" s="101">
        <f>$C$95*J104</f>
        <v>425.12597705400003</v>
      </c>
      <c r="K129" s="101">
        <f t="shared" si="84"/>
        <v>357.34817902200001</v>
      </c>
      <c r="L129" s="101">
        <f t="shared" si="84"/>
        <v>219.67786475400004</v>
      </c>
      <c r="M129" s="101">
        <f t="shared" si="84"/>
        <v>151.90006672200002</v>
      </c>
      <c r="O129" s="184">
        <f>E$97-J129</f>
        <v>695.46414894600002</v>
      </c>
      <c r="P129" s="184">
        <f t="shared" si="85"/>
        <v>666.30573697799991</v>
      </c>
      <c r="Q129" s="184">
        <f t="shared" si="85"/>
        <v>332.74547124600002</v>
      </c>
      <c r="R129" s="184">
        <f t="shared" si="85"/>
        <v>303.58705927799997</v>
      </c>
      <c r="T129" s="184">
        <f t="shared" si="69"/>
        <v>-15726.535851053999</v>
      </c>
      <c r="U129" s="184">
        <f t="shared" si="69"/>
        <v>-11655.694263022</v>
      </c>
      <c r="V129" s="184">
        <f t="shared" si="69"/>
        <v>-14802.254528754</v>
      </c>
      <c r="W129" s="184">
        <f t="shared" si="69"/>
        <v>-10732.412940722001</v>
      </c>
      <c r="Y129" s="184">
        <f t="shared" si="70"/>
        <v>-29870.535851053999</v>
      </c>
      <c r="Z129" s="184">
        <f t="shared" si="70"/>
        <v>-20881.694263022</v>
      </c>
      <c r="AA129" s="184">
        <f t="shared" si="70"/>
        <v>-27403.254528754002</v>
      </c>
      <c r="AB129" s="184">
        <f t="shared" si="70"/>
        <v>-18414.412940721999</v>
      </c>
      <c r="AD129" s="184">
        <f t="shared" si="71"/>
        <v>-1774740.3850476954</v>
      </c>
      <c r="AE129" s="184">
        <f t="shared" si="71"/>
        <v>-1637960.0664868634</v>
      </c>
      <c r="AF129" s="184">
        <f t="shared" si="71"/>
        <v>-1730907.9656581953</v>
      </c>
      <c r="AG129" s="184">
        <f t="shared" si="71"/>
        <v>-1594127.9670973634</v>
      </c>
      <c r="AI129" s="184">
        <f t="shared" si="67"/>
        <v>-792944.51677197439</v>
      </c>
      <c r="AJ129" s="184">
        <f t="shared" si="65"/>
        <v>-656164.19821114244</v>
      </c>
      <c r="AK129" s="184">
        <f t="shared" si="65"/>
        <v>-749112.09738247434</v>
      </c>
      <c r="AL129" s="184">
        <f t="shared" si="65"/>
        <v>-612332.09882164234</v>
      </c>
    </row>
    <row r="130" spans="8:38" x14ac:dyDescent="0.3">
      <c r="H130" s="221" t="s">
        <v>925</v>
      </c>
      <c r="I130" s="221" t="s">
        <v>836</v>
      </c>
      <c r="J130" s="101">
        <f>$C$95*J105</f>
        <v>411.80757187308006</v>
      </c>
      <c r="K130" s="101">
        <f t="shared" si="84"/>
        <v>345.20231423724005</v>
      </c>
      <c r="L130" s="101">
        <f t="shared" si="84"/>
        <v>214.09044390408005</v>
      </c>
      <c r="M130" s="101">
        <f t="shared" si="84"/>
        <v>147.48518626824</v>
      </c>
      <c r="O130" s="184">
        <f t="shared" ref="O130:O131" si="86">E$97-J130</f>
        <v>708.78255412691999</v>
      </c>
      <c r="P130" s="184">
        <f t="shared" si="85"/>
        <v>678.45160176275999</v>
      </c>
      <c r="Q130" s="184">
        <f t="shared" si="85"/>
        <v>338.33289209591999</v>
      </c>
      <c r="R130" s="184">
        <f t="shared" si="85"/>
        <v>308.00193973175999</v>
      </c>
      <c r="T130" s="184">
        <f t="shared" si="69"/>
        <v>-15713.217445873081</v>
      </c>
      <c r="U130" s="184">
        <f t="shared" si="69"/>
        <v>-11643.548398237241</v>
      </c>
      <c r="V130" s="184">
        <f t="shared" si="69"/>
        <v>-14796.667107904081</v>
      </c>
      <c r="W130" s="184">
        <f t="shared" si="69"/>
        <v>-10727.998060268241</v>
      </c>
      <c r="Y130" s="184">
        <f t="shared" si="70"/>
        <v>-29857.217445873081</v>
      </c>
      <c r="Z130" s="184">
        <f t="shared" si="70"/>
        <v>-20869.548398237239</v>
      </c>
      <c r="AA130" s="184">
        <f t="shared" si="70"/>
        <v>-27397.667107904079</v>
      </c>
      <c r="AB130" s="184">
        <f t="shared" si="70"/>
        <v>-18409.998060268241</v>
      </c>
      <c r="AD130" s="184">
        <f t="shared" si="71"/>
        <v>-1774727.0666425147</v>
      </c>
      <c r="AE130" s="184">
        <f t="shared" si="71"/>
        <v>-1637947.9206220787</v>
      </c>
      <c r="AF130" s="184">
        <f t="shared" si="71"/>
        <v>-1730902.3782373455</v>
      </c>
      <c r="AG130" s="184">
        <f t="shared" si="71"/>
        <v>-1594123.5522169098</v>
      </c>
      <c r="AI130" s="184">
        <f t="shared" si="67"/>
        <v>-792931.19836679345</v>
      </c>
      <c r="AJ130" s="184">
        <f t="shared" si="65"/>
        <v>-656152.05234635761</v>
      </c>
      <c r="AK130" s="184">
        <f t="shared" si="65"/>
        <v>-749106.5099616244</v>
      </c>
      <c r="AL130" s="184">
        <f t="shared" si="65"/>
        <v>-612327.68394118862</v>
      </c>
    </row>
    <row r="131" spans="8:38" x14ac:dyDescent="0.3">
      <c r="H131" s="8"/>
      <c r="I131" s="8" t="s">
        <v>837</v>
      </c>
      <c r="J131" s="170">
        <f>$C$95*J106</f>
        <v>407.46816768767764</v>
      </c>
      <c r="K131" s="170">
        <f t="shared" si="84"/>
        <v>341.2449472877928</v>
      </c>
      <c r="L131" s="170">
        <f t="shared" si="84"/>
        <v>212.26994985149761</v>
      </c>
      <c r="M131" s="170">
        <f t="shared" si="84"/>
        <v>146.0467294516128</v>
      </c>
      <c r="N131" s="8"/>
      <c r="O131" s="197">
        <f t="shared" si="86"/>
        <v>713.12195831232248</v>
      </c>
      <c r="P131" s="197">
        <f t="shared" si="85"/>
        <v>682.40896871220718</v>
      </c>
      <c r="Q131" s="197">
        <f t="shared" si="85"/>
        <v>340.15338614850248</v>
      </c>
      <c r="R131" s="197">
        <f t="shared" si="85"/>
        <v>309.44039654838718</v>
      </c>
      <c r="S131" s="8"/>
      <c r="T131" s="197">
        <f t="shared" si="69"/>
        <v>-15708.878041687678</v>
      </c>
      <c r="U131" s="197">
        <f t="shared" si="69"/>
        <v>-11639.591031287793</v>
      </c>
      <c r="V131" s="197">
        <f t="shared" si="69"/>
        <v>-14794.846613851498</v>
      </c>
      <c r="W131" s="197">
        <f t="shared" si="69"/>
        <v>-10726.559603451613</v>
      </c>
      <c r="X131" s="8"/>
      <c r="Y131" s="197">
        <f t="shared" si="70"/>
        <v>-29852.878041687676</v>
      </c>
      <c r="Z131" s="197">
        <f t="shared" si="70"/>
        <v>-20865.591031287793</v>
      </c>
      <c r="AA131" s="197">
        <f t="shared" si="70"/>
        <v>-27395.846613851496</v>
      </c>
      <c r="AB131" s="197">
        <f t="shared" si="70"/>
        <v>-18408.559603451613</v>
      </c>
      <c r="AC131" s="8"/>
      <c r="AD131" s="197">
        <f t="shared" si="71"/>
        <v>-1774722.7272383291</v>
      </c>
      <c r="AE131" s="197">
        <f t="shared" si="71"/>
        <v>-1637943.9632551293</v>
      </c>
      <c r="AF131" s="197">
        <f t="shared" si="71"/>
        <v>-1730900.557743293</v>
      </c>
      <c r="AG131" s="197">
        <f t="shared" si="71"/>
        <v>-1594122.113760093</v>
      </c>
      <c r="AI131" s="197">
        <f t="shared" si="67"/>
        <v>-792926.85896260804</v>
      </c>
      <c r="AJ131" s="197">
        <f t="shared" si="65"/>
        <v>-656148.0949794082</v>
      </c>
      <c r="AK131" s="197">
        <f t="shared" si="65"/>
        <v>-749104.68946757179</v>
      </c>
      <c r="AL131" s="197">
        <f t="shared" si="65"/>
        <v>-612326.24548437202</v>
      </c>
    </row>
    <row r="133" spans="8:38" x14ac:dyDescent="0.3">
      <c r="M133" s="1" t="s">
        <v>845</v>
      </c>
      <c r="N133" s="1" t="s">
        <v>1015</v>
      </c>
      <c r="O133" s="1">
        <v>0.37023664086882052</v>
      </c>
      <c r="P133" s="1">
        <v>0.34375291747601722</v>
      </c>
      <c r="Q133" s="1">
        <v>0.1526981262462182</v>
      </c>
      <c r="R133" s="1">
        <v>7.5002357259290012E-2</v>
      </c>
    </row>
    <row r="134" spans="8:38" x14ac:dyDescent="0.3">
      <c r="N134" s="1" t="s">
        <v>807</v>
      </c>
      <c r="O134" s="1">
        <v>0.37829642862069079</v>
      </c>
      <c r="P134" s="1">
        <v>0.35108986585196394</v>
      </c>
      <c r="Q134" s="1">
        <v>0.15797818639922934</v>
      </c>
      <c r="R134" s="1">
        <v>7.7105111685820502E-2</v>
      </c>
    </row>
    <row r="135" spans="8:38" x14ac:dyDescent="0.3">
      <c r="N135" s="1" t="s">
        <v>808</v>
      </c>
      <c r="O135" s="1">
        <v>0.3827439847578728</v>
      </c>
      <c r="P135" s="1">
        <v>0.35514885085862841</v>
      </c>
      <c r="Q135" s="1">
        <v>0.16091083762250769</v>
      </c>
      <c r="R135" s="1">
        <v>7.8280275504881258E-2</v>
      </c>
    </row>
    <row r="136" spans="8:38" x14ac:dyDescent="0.3">
      <c r="N136" s="1" t="s">
        <v>809</v>
      </c>
      <c r="O136" s="1">
        <v>0.38415720632510253</v>
      </c>
      <c r="P136" s="1">
        <v>0.35644014194780271</v>
      </c>
      <c r="Q136" s="1">
        <v>0.16184554495804296</v>
      </c>
      <c r="R136" s="1">
        <v>7.8655924765811416E-2</v>
      </c>
    </row>
    <row r="137" spans="8:38" x14ac:dyDescent="0.3">
      <c r="M137" s="1" t="s">
        <v>1016</v>
      </c>
      <c r="N137" s="1" t="s">
        <v>1015</v>
      </c>
      <c r="O137" s="1">
        <v>7.8053437104077097E-2</v>
      </c>
      <c r="P137" s="1">
        <v>8.1335853599336178E-2</v>
      </c>
      <c r="Q137" s="1">
        <v>0.1624565095320907</v>
      </c>
      <c r="R137" s="1">
        <v>0.17735342387397485</v>
      </c>
    </row>
    <row r="138" spans="8:38" x14ac:dyDescent="0.3">
      <c r="N138" s="1" t="s">
        <v>807</v>
      </c>
      <c r="O138" s="1">
        <v>7.9491708163223457E-2</v>
      </c>
      <c r="P138" s="1">
        <v>8.2970369453423079E-2</v>
      </c>
      <c r="Q138" s="1">
        <v>0.16614390861274442</v>
      </c>
      <c r="R138" s="1">
        <v>0.18210141531551846</v>
      </c>
    </row>
    <row r="139" spans="8:38" x14ac:dyDescent="0.3">
      <c r="N139" s="1" t="s">
        <v>808</v>
      </c>
      <c r="O139" s="1">
        <v>8.0285375623579722E-2</v>
      </c>
      <c r="P139" s="1">
        <v>8.3874624874742967E-2</v>
      </c>
      <c r="Q139" s="1">
        <v>0.16819196395893729</v>
      </c>
      <c r="R139" s="1">
        <v>0.18475491954069725</v>
      </c>
    </row>
    <row r="140" spans="8:38" x14ac:dyDescent="0.3">
      <c r="N140" s="1" t="s">
        <v>809</v>
      </c>
      <c r="O140" s="1">
        <v>8.0537565351508536E-2</v>
      </c>
      <c r="P140" s="1">
        <v>8.416229703070581E-2</v>
      </c>
      <c r="Q140" s="1">
        <v>0.16884472905438183</v>
      </c>
      <c r="R140" s="1">
        <v>0.18560313056021302</v>
      </c>
    </row>
    <row r="141" spans="8:38" x14ac:dyDescent="0.3">
      <c r="M141" s="1" t="s">
        <v>847</v>
      </c>
      <c r="N141" s="1" t="s">
        <v>1015</v>
      </c>
      <c r="O141" s="1">
        <v>0.55170992202710245</v>
      </c>
      <c r="P141" s="1">
        <v>0.57491122892464663</v>
      </c>
      <c r="Q141" s="1">
        <v>0.68484536422169107</v>
      </c>
      <c r="R141" s="1">
        <v>0.74764421886673504</v>
      </c>
    </row>
    <row r="142" spans="8:38" x14ac:dyDescent="0.3">
      <c r="N142" s="1" t="s">
        <v>807</v>
      </c>
      <c r="O142" s="1">
        <v>0.54221186321608572</v>
      </c>
      <c r="P142" s="1">
        <v>0.56593976469461305</v>
      </c>
      <c r="Q142" s="1">
        <v>0.67587790498802636</v>
      </c>
      <c r="R142" s="1">
        <v>0.74079347299866105</v>
      </c>
    </row>
    <row r="143" spans="8:38" x14ac:dyDescent="0.3">
      <c r="N143" s="1" t="s">
        <v>808</v>
      </c>
      <c r="O143" s="1">
        <v>0.53697063961854752</v>
      </c>
      <c r="P143" s="1">
        <v>0.56097652426662858</v>
      </c>
      <c r="Q143" s="1">
        <v>0.670897198418555</v>
      </c>
      <c r="R143" s="1">
        <v>0.73696480495442152</v>
      </c>
    </row>
    <row r="144" spans="8:38" x14ac:dyDescent="0.3">
      <c r="N144" s="1" t="s">
        <v>809</v>
      </c>
      <c r="O144" s="1">
        <v>0.53530522832338889</v>
      </c>
      <c r="P144" s="1">
        <v>0.55939756102149141</v>
      </c>
      <c r="Q144" s="1">
        <v>0.66930972598757521</v>
      </c>
      <c r="R144" s="1">
        <v>0.73574094467397555</v>
      </c>
    </row>
    <row r="146" spans="13:33" x14ac:dyDescent="0.3">
      <c r="N146" s="1" t="s">
        <v>857</v>
      </c>
      <c r="T146" s="221" t="s">
        <v>969</v>
      </c>
      <c r="Y146" s="221" t="s">
        <v>968</v>
      </c>
      <c r="AD146" s="221" t="s">
        <v>971</v>
      </c>
    </row>
    <row r="147" spans="13:33" x14ac:dyDescent="0.3">
      <c r="M147" s="176" t="s">
        <v>823</v>
      </c>
      <c r="O147" s="188" t="s">
        <v>828</v>
      </c>
      <c r="P147" s="188" t="s">
        <v>829</v>
      </c>
      <c r="Q147" s="188" t="s">
        <v>830</v>
      </c>
      <c r="R147" s="188" t="s">
        <v>831</v>
      </c>
      <c r="T147" s="170">
        <f>11789+4633</f>
        <v>16422</v>
      </c>
      <c r="U147" s="170">
        <f>7689+4633</f>
        <v>12322</v>
      </c>
      <c r="V147" s="170">
        <f>10502+4633</f>
        <v>15135</v>
      </c>
      <c r="W147" s="170">
        <f>6403+4633</f>
        <v>11036</v>
      </c>
      <c r="X147" s="8"/>
      <c r="Y147" s="170">
        <f>25933+4633</f>
        <v>30566</v>
      </c>
      <c r="Z147" s="170">
        <f>16915+4633</f>
        <v>21548</v>
      </c>
      <c r="AA147" s="170">
        <f>23103+4633</f>
        <v>27736</v>
      </c>
      <c r="AB147" s="170">
        <f>14085+4633</f>
        <v>18718</v>
      </c>
      <c r="AC147" s="8"/>
      <c r="AD147" s="170">
        <f>Y147*15</f>
        <v>458490</v>
      </c>
      <c r="AE147" s="170">
        <f>Z147*15</f>
        <v>323220</v>
      </c>
      <c r="AF147" s="170">
        <f>AA147*15</f>
        <v>416040</v>
      </c>
      <c r="AG147" s="170">
        <f>AB147*15</f>
        <v>280770</v>
      </c>
    </row>
    <row r="148" spans="13:33" x14ac:dyDescent="0.3">
      <c r="M148" s="225"/>
      <c r="O148" s="182">
        <f>O108*O133</f>
        <v>83002381.195000008</v>
      </c>
      <c r="P148" s="182">
        <f t="shared" ref="P148:R148" si="87">P108*P133</f>
        <v>73955001.594999999</v>
      </c>
      <c r="Q148" s="182">
        <f t="shared" si="87"/>
        <v>16447495.519999998</v>
      </c>
      <c r="R148" s="182">
        <f t="shared" si="87"/>
        <v>7400115.9200000009</v>
      </c>
      <c r="T148" s="182">
        <f>O148-T$147</f>
        <v>82985959.195000008</v>
      </c>
      <c r="U148" s="182">
        <f t="shared" ref="U148:W163" si="88">P148-U$147</f>
        <v>73942679.594999999</v>
      </c>
      <c r="V148" s="182">
        <f t="shared" si="88"/>
        <v>16432360.519999998</v>
      </c>
      <c r="W148" s="182">
        <f t="shared" si="88"/>
        <v>7389079.9200000009</v>
      </c>
      <c r="Y148" s="182">
        <f>O148-Y$147</f>
        <v>82971815.195000008</v>
      </c>
      <c r="Z148" s="182">
        <f t="shared" ref="Z148:AB163" si="89">P148-Z$147</f>
        <v>73933453.594999999</v>
      </c>
      <c r="AA148" s="182">
        <f t="shared" si="89"/>
        <v>16419759.519999998</v>
      </c>
      <c r="AB148" s="182">
        <f t="shared" si="89"/>
        <v>7381397.9200000009</v>
      </c>
      <c r="AC148" s="207"/>
      <c r="AD148" s="182">
        <f>O148-AD$147</f>
        <v>82543891.195000008</v>
      </c>
      <c r="AE148" s="182">
        <f t="shared" ref="AE148:AG163" si="90">P148-AE$147</f>
        <v>73631781.594999999</v>
      </c>
      <c r="AF148" s="182">
        <f t="shared" si="90"/>
        <v>16031455.519999998</v>
      </c>
      <c r="AG148" s="182">
        <f t="shared" si="90"/>
        <v>7119345.9200000009</v>
      </c>
    </row>
    <row r="149" spans="13:33" x14ac:dyDescent="0.3">
      <c r="M149" s="222" t="s">
        <v>826</v>
      </c>
      <c r="O149" s="182">
        <f t="shared" ref="O149:R151" si="91">O109*O134</f>
        <v>87697201.25999999</v>
      </c>
      <c r="P149" s="182">
        <f t="shared" si="91"/>
        <v>77977730.604000002</v>
      </c>
      <c r="Q149" s="182">
        <f t="shared" si="91"/>
        <v>17522175.359999996</v>
      </c>
      <c r="R149" s="182">
        <f t="shared" si="91"/>
        <v>7802704.7039999999</v>
      </c>
      <c r="T149" s="182">
        <f>O149-T$147</f>
        <v>87680779.25999999</v>
      </c>
      <c r="U149" s="182">
        <f t="shared" si="88"/>
        <v>77965408.604000002</v>
      </c>
      <c r="V149" s="182">
        <f t="shared" si="88"/>
        <v>17507040.359999996</v>
      </c>
      <c r="W149" s="182">
        <f t="shared" si="88"/>
        <v>7791668.7039999999</v>
      </c>
      <c r="Y149" s="182">
        <f>O149-Y$147</f>
        <v>87666635.25999999</v>
      </c>
      <c r="Z149" s="182">
        <f t="shared" si="89"/>
        <v>77956182.604000002</v>
      </c>
      <c r="AA149" s="182">
        <f t="shared" si="89"/>
        <v>17494439.359999996</v>
      </c>
      <c r="AB149" s="182">
        <f t="shared" si="89"/>
        <v>7783986.7039999999</v>
      </c>
      <c r="AD149" s="182">
        <f>O149-AD$147</f>
        <v>87238711.25999999</v>
      </c>
      <c r="AE149" s="182">
        <f t="shared" si="90"/>
        <v>77654510.604000002</v>
      </c>
      <c r="AF149" s="182">
        <f t="shared" si="90"/>
        <v>17106135.359999996</v>
      </c>
      <c r="AG149" s="182">
        <f t="shared" si="90"/>
        <v>7521934.7039999999</v>
      </c>
    </row>
    <row r="150" spans="13:33" x14ac:dyDescent="0.3">
      <c r="M150" s="222" t="s">
        <v>924</v>
      </c>
      <c r="O150" s="182">
        <f t="shared" si="91"/>
        <v>90427419.697799996</v>
      </c>
      <c r="P150" s="182">
        <f t="shared" si="91"/>
        <v>80317102.24307999</v>
      </c>
      <c r="Q150" s="182">
        <f t="shared" si="91"/>
        <v>18147143.020799998</v>
      </c>
      <c r="R150" s="182">
        <f t="shared" si="91"/>
        <v>8036825.5660800021</v>
      </c>
      <c r="T150" s="182">
        <f t="shared" ref="T150:W171" si="92">O150-T$147</f>
        <v>90410997.697799996</v>
      </c>
      <c r="U150" s="182">
        <f t="shared" si="88"/>
        <v>80304780.24307999</v>
      </c>
      <c r="V150" s="182">
        <f t="shared" si="88"/>
        <v>18132008.020799998</v>
      </c>
      <c r="W150" s="182">
        <f t="shared" si="88"/>
        <v>8025789.5660800021</v>
      </c>
      <c r="Y150" s="182">
        <f t="shared" ref="Y150:AB171" si="93">O150-Y$147</f>
        <v>90396853.697799996</v>
      </c>
      <c r="Z150" s="182">
        <f t="shared" si="89"/>
        <v>80295554.24307999</v>
      </c>
      <c r="AA150" s="182">
        <f t="shared" si="89"/>
        <v>18119407.020799998</v>
      </c>
      <c r="AB150" s="182">
        <f t="shared" si="89"/>
        <v>8018107.5660800021</v>
      </c>
      <c r="AD150" s="182">
        <f t="shared" ref="AD150:AG171" si="94">O150-AD$147</f>
        <v>89968929.697799996</v>
      </c>
      <c r="AE150" s="182">
        <f t="shared" si="90"/>
        <v>79993882.24307999</v>
      </c>
      <c r="AF150" s="182">
        <f t="shared" si="90"/>
        <v>17731103.020799998</v>
      </c>
      <c r="AG150" s="182">
        <f t="shared" si="90"/>
        <v>7756055.5660800021</v>
      </c>
    </row>
    <row r="151" spans="13:33" x14ac:dyDescent="0.3">
      <c r="M151" s="111"/>
      <c r="N151" s="8"/>
      <c r="O151" s="194">
        <f t="shared" si="91"/>
        <v>91316979.758115992</v>
      </c>
      <c r="P151" s="194">
        <f t="shared" si="91"/>
        <v>81079316.558077589</v>
      </c>
      <c r="Q151" s="194">
        <f t="shared" si="91"/>
        <v>18350770.050175995</v>
      </c>
      <c r="R151" s="194">
        <f t="shared" si="91"/>
        <v>8113106.8501375969</v>
      </c>
      <c r="T151" s="194">
        <f t="shared" si="92"/>
        <v>91300557.758115992</v>
      </c>
      <c r="U151" s="194">
        <f t="shared" si="88"/>
        <v>81066994.558077589</v>
      </c>
      <c r="V151" s="194">
        <f t="shared" si="88"/>
        <v>18335635.050175995</v>
      </c>
      <c r="W151" s="194">
        <f t="shared" si="88"/>
        <v>8102070.8501375969</v>
      </c>
      <c r="Y151" s="194">
        <f t="shared" si="93"/>
        <v>91286413.758115992</v>
      </c>
      <c r="Z151" s="194">
        <f t="shared" si="89"/>
        <v>81057768.558077589</v>
      </c>
      <c r="AA151" s="194">
        <f t="shared" si="89"/>
        <v>18323034.050175995</v>
      </c>
      <c r="AB151" s="194">
        <f t="shared" si="89"/>
        <v>8094388.8501375969</v>
      </c>
      <c r="AC151" s="8"/>
      <c r="AD151" s="194">
        <f t="shared" si="94"/>
        <v>90858489.758115992</v>
      </c>
      <c r="AE151" s="194">
        <f t="shared" si="90"/>
        <v>80756096.558077589</v>
      </c>
      <c r="AF151" s="194">
        <f t="shared" si="90"/>
        <v>17934730.050175995</v>
      </c>
      <c r="AG151" s="194">
        <f t="shared" si="90"/>
        <v>7832336.8501375969</v>
      </c>
    </row>
    <row r="152" spans="13:33" x14ac:dyDescent="0.3">
      <c r="M152" s="237"/>
      <c r="N152" s="207"/>
      <c r="O152" s="195">
        <f>O112*O133</f>
        <v>808609.19760168996</v>
      </c>
      <c r="P152" s="195">
        <f t="shared" ref="P152:R152" si="95">P112*P133</f>
        <v>720469.62553849013</v>
      </c>
      <c r="Q152" s="195">
        <f t="shared" si="95"/>
        <v>160231.50135583998</v>
      </c>
      <c r="R152" s="183">
        <f t="shared" si="95"/>
        <v>72091.929292640008</v>
      </c>
      <c r="T152" s="195">
        <f t="shared" si="92"/>
        <v>792187.19760168996</v>
      </c>
      <c r="U152" s="195">
        <f t="shared" si="88"/>
        <v>708147.62553849013</v>
      </c>
      <c r="V152" s="195">
        <f t="shared" si="88"/>
        <v>145096.50135583998</v>
      </c>
      <c r="W152" s="183">
        <f t="shared" si="88"/>
        <v>61055.929292640008</v>
      </c>
      <c r="Y152" s="195">
        <f t="shared" si="93"/>
        <v>778043.19760168996</v>
      </c>
      <c r="Z152" s="195">
        <f t="shared" si="89"/>
        <v>698921.62553849013</v>
      </c>
      <c r="AA152" s="195">
        <f t="shared" si="89"/>
        <v>132495.50135583998</v>
      </c>
      <c r="AB152" s="183">
        <f t="shared" si="89"/>
        <v>53373.929292640008</v>
      </c>
      <c r="AC152" s="207"/>
      <c r="AD152" s="195">
        <f t="shared" si="94"/>
        <v>350119.19760168996</v>
      </c>
      <c r="AE152" s="195">
        <f t="shared" si="90"/>
        <v>397249.62553849013</v>
      </c>
      <c r="AF152" s="184">
        <f t="shared" si="90"/>
        <v>-255808.49864416002</v>
      </c>
      <c r="AG152" s="184">
        <f t="shared" si="90"/>
        <v>-208678.07070735999</v>
      </c>
    </row>
    <row r="153" spans="13:33" ht="28.8" x14ac:dyDescent="0.3">
      <c r="M153" s="222" t="s">
        <v>920</v>
      </c>
      <c r="O153" s="195">
        <f t="shared" ref="O153:R155" si="96">O113*O134</f>
        <v>854346.13467491977</v>
      </c>
      <c r="P153" s="195">
        <f t="shared" si="96"/>
        <v>759659.05154416803</v>
      </c>
      <c r="Q153" s="195">
        <f t="shared" si="96"/>
        <v>170701.03235711996</v>
      </c>
      <c r="R153" s="183">
        <f t="shared" si="96"/>
        <v>76013.949226368</v>
      </c>
      <c r="T153" s="195">
        <f t="shared" si="92"/>
        <v>837924.13467491977</v>
      </c>
      <c r="U153" s="195">
        <f t="shared" si="88"/>
        <v>747337.05154416803</v>
      </c>
      <c r="V153" s="195">
        <f t="shared" si="88"/>
        <v>155566.03235711996</v>
      </c>
      <c r="W153" s="183">
        <f t="shared" si="88"/>
        <v>64977.949226368</v>
      </c>
      <c r="Y153" s="195">
        <f t="shared" si="93"/>
        <v>823780.13467491977</v>
      </c>
      <c r="Z153" s="195">
        <f t="shared" si="89"/>
        <v>738111.05154416803</v>
      </c>
      <c r="AA153" s="195">
        <f t="shared" si="89"/>
        <v>142965.03235711996</v>
      </c>
      <c r="AB153" s="183">
        <f t="shared" si="89"/>
        <v>57295.949226368</v>
      </c>
      <c r="AD153" s="195">
        <f t="shared" si="94"/>
        <v>395856.13467491977</v>
      </c>
      <c r="AE153" s="195">
        <f t="shared" si="90"/>
        <v>436439.05154416803</v>
      </c>
      <c r="AF153" s="184">
        <f t="shared" si="90"/>
        <v>-245338.96764288004</v>
      </c>
      <c r="AG153" s="184">
        <f t="shared" si="90"/>
        <v>-204756.05077363201</v>
      </c>
    </row>
    <row r="154" spans="13:33" x14ac:dyDescent="0.3">
      <c r="M154" s="222"/>
      <c r="O154" s="195">
        <f t="shared" si="96"/>
        <v>880943.92269596749</v>
      </c>
      <c r="P154" s="195">
        <f t="shared" si="96"/>
        <v>782449.21005208546</v>
      </c>
      <c r="Q154" s="195">
        <f t="shared" si="96"/>
        <v>176789.46730863358</v>
      </c>
      <c r="R154" s="183">
        <f t="shared" si="96"/>
        <v>78294.754664751381</v>
      </c>
      <c r="T154" s="195">
        <f t="shared" si="92"/>
        <v>864521.92269596749</v>
      </c>
      <c r="U154" s="195">
        <f t="shared" si="88"/>
        <v>770127.21005208546</v>
      </c>
      <c r="V154" s="195">
        <f t="shared" si="88"/>
        <v>161654.46730863358</v>
      </c>
      <c r="W154" s="183">
        <f t="shared" si="88"/>
        <v>67258.754664751381</v>
      </c>
      <c r="Y154" s="195">
        <f t="shared" si="93"/>
        <v>850377.92269596749</v>
      </c>
      <c r="Z154" s="195">
        <f t="shared" si="89"/>
        <v>760901.21005208546</v>
      </c>
      <c r="AA154" s="195">
        <f t="shared" si="89"/>
        <v>149053.46730863358</v>
      </c>
      <c r="AB154" s="183">
        <f t="shared" si="89"/>
        <v>59576.754664751381</v>
      </c>
      <c r="AD154" s="195">
        <f t="shared" si="94"/>
        <v>422453.92269596749</v>
      </c>
      <c r="AE154" s="195">
        <f t="shared" si="90"/>
        <v>459229.21005208546</v>
      </c>
      <c r="AF154" s="184">
        <f t="shared" si="90"/>
        <v>-239250.53269136642</v>
      </c>
      <c r="AG154" s="184">
        <f t="shared" si="90"/>
        <v>-202475.24533524862</v>
      </c>
    </row>
    <row r="155" spans="13:33" x14ac:dyDescent="0.3">
      <c r="M155" s="111"/>
      <c r="N155" s="8"/>
      <c r="O155" s="196">
        <f t="shared" si="96"/>
        <v>889610.01680356602</v>
      </c>
      <c r="P155" s="196">
        <f t="shared" si="96"/>
        <v>789874.70190879202</v>
      </c>
      <c r="Q155" s="196">
        <f t="shared" si="96"/>
        <v>178773.20182881458</v>
      </c>
      <c r="R155" s="193">
        <f t="shared" si="96"/>
        <v>79037.886934040478</v>
      </c>
      <c r="T155" s="196">
        <f t="shared" si="92"/>
        <v>873188.01680356602</v>
      </c>
      <c r="U155" s="196">
        <f t="shared" si="88"/>
        <v>777552.70190879202</v>
      </c>
      <c r="V155" s="196">
        <f t="shared" si="88"/>
        <v>163638.20182881458</v>
      </c>
      <c r="W155" s="193">
        <f t="shared" si="88"/>
        <v>68001.886934040478</v>
      </c>
      <c r="Y155" s="196">
        <f t="shared" si="93"/>
        <v>859044.01680356602</v>
      </c>
      <c r="Z155" s="196">
        <f t="shared" si="89"/>
        <v>768326.70190879202</v>
      </c>
      <c r="AA155" s="196">
        <f t="shared" si="89"/>
        <v>151037.20182881458</v>
      </c>
      <c r="AB155" s="193">
        <f t="shared" si="89"/>
        <v>60319.886934040478</v>
      </c>
      <c r="AC155" s="8"/>
      <c r="AD155" s="196">
        <f t="shared" si="94"/>
        <v>431120.01680356602</v>
      </c>
      <c r="AE155" s="196">
        <f t="shared" si="90"/>
        <v>466654.70190879202</v>
      </c>
      <c r="AF155" s="197">
        <f t="shared" si="90"/>
        <v>-237266.79817118542</v>
      </c>
      <c r="AG155" s="197">
        <f t="shared" si="90"/>
        <v>-201732.11306595954</v>
      </c>
    </row>
    <row r="156" spans="13:33" x14ac:dyDescent="0.3">
      <c r="M156" s="237"/>
      <c r="N156" s="207"/>
      <c r="O156" s="195">
        <f>O116*O133</f>
        <v>196134.62676378505</v>
      </c>
      <c r="P156" s="195">
        <f t="shared" ref="P156:R156" si="97">P116*P133</f>
        <v>174755.66876898499</v>
      </c>
      <c r="Q156" s="183">
        <f t="shared" si="97"/>
        <v>38865.431913759996</v>
      </c>
      <c r="R156" s="183">
        <f t="shared" si="97"/>
        <v>17486.47391896</v>
      </c>
      <c r="T156" s="195">
        <f t="shared" si="92"/>
        <v>179712.62676378505</v>
      </c>
      <c r="U156" s="195">
        <f t="shared" si="88"/>
        <v>162433.66876898499</v>
      </c>
      <c r="V156" s="183">
        <f t="shared" si="88"/>
        <v>23730.431913759996</v>
      </c>
      <c r="W156" s="184">
        <f t="shared" si="88"/>
        <v>6450.4739189600004</v>
      </c>
      <c r="Y156" s="195">
        <f t="shared" si="93"/>
        <v>165568.62676378505</v>
      </c>
      <c r="Z156" s="195">
        <f t="shared" si="89"/>
        <v>153207.66876898499</v>
      </c>
      <c r="AA156" s="183">
        <f t="shared" si="89"/>
        <v>11129.431913759996</v>
      </c>
      <c r="AB156" s="184">
        <f t="shared" si="89"/>
        <v>-1231.5260810399996</v>
      </c>
      <c r="AC156" s="207"/>
      <c r="AD156" s="195">
        <f t="shared" si="94"/>
        <v>-262355.37323621497</v>
      </c>
      <c r="AE156" s="184">
        <f t="shared" si="90"/>
        <v>-148464.33123101501</v>
      </c>
      <c r="AF156" s="184">
        <f t="shared" si="90"/>
        <v>-377174.56808623997</v>
      </c>
      <c r="AG156" s="184">
        <f t="shared" si="90"/>
        <v>-263283.52608103998</v>
      </c>
    </row>
    <row r="157" spans="13:33" ht="28.8" x14ac:dyDescent="0.3">
      <c r="M157" s="222" t="s">
        <v>921</v>
      </c>
      <c r="O157" s="195">
        <f t="shared" ref="O157:R159" si="98">O117*O134</f>
        <v>207228.48657738001</v>
      </c>
      <c r="P157" s="195">
        <f t="shared" si="98"/>
        <v>184261.37741725202</v>
      </c>
      <c r="Q157" s="183">
        <f t="shared" si="98"/>
        <v>41404.900375679994</v>
      </c>
      <c r="R157" s="183">
        <f t="shared" si="98"/>
        <v>18437.791215552003</v>
      </c>
      <c r="T157" s="195">
        <f t="shared" si="92"/>
        <v>190806.48657738001</v>
      </c>
      <c r="U157" s="195">
        <f t="shared" si="88"/>
        <v>171939.37741725202</v>
      </c>
      <c r="V157" s="183">
        <f t="shared" si="88"/>
        <v>26269.900375679994</v>
      </c>
      <c r="W157" s="184">
        <f t="shared" si="88"/>
        <v>7401.7912155520025</v>
      </c>
      <c r="Y157" s="195">
        <f t="shared" si="93"/>
        <v>176662.48657738001</v>
      </c>
      <c r="Z157" s="195">
        <f t="shared" si="89"/>
        <v>162713.37741725202</v>
      </c>
      <c r="AA157" s="183">
        <f t="shared" si="89"/>
        <v>13668.900375679994</v>
      </c>
      <c r="AB157" s="184">
        <f t="shared" si="89"/>
        <v>-280.20878444799746</v>
      </c>
      <c r="AD157" s="195">
        <f t="shared" si="94"/>
        <v>-251261.51342261999</v>
      </c>
      <c r="AE157" s="184">
        <f t="shared" si="90"/>
        <v>-138958.62258274798</v>
      </c>
      <c r="AF157" s="184">
        <f t="shared" si="90"/>
        <v>-374635.09962431999</v>
      </c>
      <c r="AG157" s="184">
        <f t="shared" si="90"/>
        <v>-262332.20878444798</v>
      </c>
    </row>
    <row r="158" spans="13:33" x14ac:dyDescent="0.3">
      <c r="M158" s="222"/>
      <c r="O158" s="195">
        <f t="shared" si="98"/>
        <v>213679.99274590143</v>
      </c>
      <c r="P158" s="195">
        <f t="shared" si="98"/>
        <v>189789.312600398</v>
      </c>
      <c r="Q158" s="183">
        <f t="shared" si="98"/>
        <v>42881.698958150395</v>
      </c>
      <c r="R158" s="183">
        <f t="shared" si="98"/>
        <v>18991.018812647046</v>
      </c>
      <c r="T158" s="195">
        <f t="shared" si="92"/>
        <v>197257.99274590143</v>
      </c>
      <c r="U158" s="195">
        <f t="shared" si="88"/>
        <v>177467.312600398</v>
      </c>
      <c r="V158" s="183">
        <f t="shared" si="88"/>
        <v>27746.698958150395</v>
      </c>
      <c r="W158" s="184">
        <f t="shared" si="88"/>
        <v>7955.0188126470457</v>
      </c>
      <c r="Y158" s="195">
        <f t="shared" si="93"/>
        <v>183113.99274590143</v>
      </c>
      <c r="Z158" s="195">
        <f t="shared" si="89"/>
        <v>168241.312600398</v>
      </c>
      <c r="AA158" s="183">
        <f t="shared" si="89"/>
        <v>15145.698958150395</v>
      </c>
      <c r="AB158" s="184">
        <f t="shared" si="89"/>
        <v>273.01881264704571</v>
      </c>
      <c r="AD158" s="195">
        <f t="shared" si="94"/>
        <v>-244810.00725409857</v>
      </c>
      <c r="AE158" s="184">
        <f t="shared" si="90"/>
        <v>-133430.687399602</v>
      </c>
      <c r="AF158" s="184">
        <f t="shared" si="90"/>
        <v>-373158.3010418496</v>
      </c>
      <c r="AG158" s="184">
        <f t="shared" si="90"/>
        <v>-261778.98118735297</v>
      </c>
    </row>
    <row r="159" spans="13:33" x14ac:dyDescent="0.3">
      <c r="M159" s="111"/>
      <c r="N159" s="8"/>
      <c r="O159" s="196">
        <f t="shared" si="98"/>
        <v>215782.02316842813</v>
      </c>
      <c r="P159" s="196">
        <f t="shared" si="98"/>
        <v>191590.42502673736</v>
      </c>
      <c r="Q159" s="193">
        <f t="shared" si="98"/>
        <v>43362.869628565888</v>
      </c>
      <c r="R159" s="193">
        <f t="shared" si="98"/>
        <v>19171.271486875143</v>
      </c>
      <c r="T159" s="196">
        <f t="shared" si="92"/>
        <v>199360.02316842813</v>
      </c>
      <c r="U159" s="196">
        <f t="shared" si="88"/>
        <v>179268.42502673736</v>
      </c>
      <c r="V159" s="193">
        <f t="shared" si="88"/>
        <v>28227.869628565888</v>
      </c>
      <c r="W159" s="197">
        <f t="shared" si="88"/>
        <v>8135.2714868751427</v>
      </c>
      <c r="Y159" s="196">
        <f t="shared" si="93"/>
        <v>185216.02316842813</v>
      </c>
      <c r="Z159" s="196">
        <f t="shared" si="89"/>
        <v>170042.42502673736</v>
      </c>
      <c r="AA159" s="193">
        <f t="shared" si="89"/>
        <v>15626.869628565888</v>
      </c>
      <c r="AB159" s="197">
        <f t="shared" si="89"/>
        <v>453.27148687514273</v>
      </c>
      <c r="AC159" s="8"/>
      <c r="AD159" s="196">
        <f t="shared" si="94"/>
        <v>-242707.97683157187</v>
      </c>
      <c r="AE159" s="197">
        <f t="shared" si="90"/>
        <v>-131629.57497326264</v>
      </c>
      <c r="AF159" s="197">
        <f t="shared" si="90"/>
        <v>-372677.13037143409</v>
      </c>
      <c r="AG159" s="197">
        <f t="shared" si="90"/>
        <v>-261598.72851312486</v>
      </c>
    </row>
    <row r="160" spans="13:33" x14ac:dyDescent="0.3">
      <c r="M160" s="237"/>
      <c r="N160" s="207"/>
      <c r="O160" s="183">
        <f>O120*O133</f>
        <v>25066.719120890008</v>
      </c>
      <c r="P160" s="183">
        <f t="shared" ref="P160:R161" si="99">P120*P133</f>
        <v>22334.410481690007</v>
      </c>
      <c r="Q160" s="184">
        <f t="shared" si="99"/>
        <v>4967.1436470400004</v>
      </c>
      <c r="R160" s="184">
        <f t="shared" si="99"/>
        <v>2234.8350078399999</v>
      </c>
      <c r="T160" s="183">
        <f t="shared" si="92"/>
        <v>8644.7191208900076</v>
      </c>
      <c r="U160" s="183">
        <f t="shared" si="88"/>
        <v>10012.410481690007</v>
      </c>
      <c r="V160" s="184">
        <f t="shared" si="88"/>
        <v>-10167.85635296</v>
      </c>
      <c r="W160" s="184">
        <f t="shared" si="88"/>
        <v>-8801.1649921600001</v>
      </c>
      <c r="Y160" s="195">
        <f t="shared" si="93"/>
        <v>-5499.2808791099924</v>
      </c>
      <c r="Z160" s="184">
        <f t="shared" si="89"/>
        <v>786.41048169000715</v>
      </c>
      <c r="AA160" s="184">
        <f t="shared" si="89"/>
        <v>-22768.85635296</v>
      </c>
      <c r="AB160" s="184">
        <f t="shared" si="89"/>
        <v>-16483.16499216</v>
      </c>
      <c r="AC160" s="207"/>
      <c r="AD160" s="184">
        <f t="shared" si="94"/>
        <v>-433423.28087910998</v>
      </c>
      <c r="AE160" s="184">
        <f t="shared" si="90"/>
        <v>-300885.58951830998</v>
      </c>
      <c r="AF160" s="184">
        <f t="shared" si="90"/>
        <v>-411072.85635295999</v>
      </c>
      <c r="AG160" s="184">
        <f t="shared" si="90"/>
        <v>-278535.16499215999</v>
      </c>
    </row>
    <row r="161" spans="13:33" ht="28.8" x14ac:dyDescent="0.3">
      <c r="M161" s="222" t="s">
        <v>922</v>
      </c>
      <c r="O161" s="183">
        <f>O121*O134</f>
        <v>26484.55478052</v>
      </c>
      <c r="P161" s="183">
        <f t="shared" si="99"/>
        <v>23549.274642408003</v>
      </c>
      <c r="Q161" s="184">
        <f t="shared" si="99"/>
        <v>5291.6969587199992</v>
      </c>
      <c r="R161" s="184">
        <f t="shared" si="99"/>
        <v>2356.4168206079999</v>
      </c>
      <c r="T161" s="183">
        <f t="shared" si="92"/>
        <v>10062.55478052</v>
      </c>
      <c r="U161" s="183">
        <f t="shared" si="88"/>
        <v>11227.274642408003</v>
      </c>
      <c r="V161" s="184">
        <f t="shared" si="88"/>
        <v>-9843.3030412799999</v>
      </c>
      <c r="W161" s="184">
        <f t="shared" si="88"/>
        <v>-8679.5831793920006</v>
      </c>
      <c r="Y161" s="195">
        <f t="shared" si="93"/>
        <v>-4081.4452194799997</v>
      </c>
      <c r="Z161" s="184">
        <f t="shared" si="89"/>
        <v>2001.2746424080033</v>
      </c>
      <c r="AA161" s="184">
        <f t="shared" si="89"/>
        <v>-22444.30304128</v>
      </c>
      <c r="AB161" s="184">
        <f t="shared" si="89"/>
        <v>-16361.583179392001</v>
      </c>
      <c r="AD161" s="184">
        <f t="shared" si="94"/>
        <v>-432005.44521948003</v>
      </c>
      <c r="AE161" s="184">
        <f t="shared" si="90"/>
        <v>-299670.72535759199</v>
      </c>
      <c r="AF161" s="184">
        <f t="shared" si="90"/>
        <v>-410748.30304128001</v>
      </c>
      <c r="AG161" s="184">
        <f t="shared" si="90"/>
        <v>-278413.58317939198</v>
      </c>
    </row>
    <row r="162" spans="13:33" x14ac:dyDescent="0.3">
      <c r="M162" s="222"/>
      <c r="O162" s="183">
        <f t="shared" ref="O162:R163" si="100">O122*O135</f>
        <v>27309.080748735603</v>
      </c>
      <c r="P162" s="183">
        <f t="shared" si="100"/>
        <v>24255.764877410162</v>
      </c>
      <c r="Q162" s="184">
        <f t="shared" si="100"/>
        <v>5480.4371922815999</v>
      </c>
      <c r="R162" s="184">
        <f t="shared" si="100"/>
        <v>2427.1213209561606</v>
      </c>
      <c r="T162" s="183">
        <f t="shared" si="92"/>
        <v>10887.080748735603</v>
      </c>
      <c r="U162" s="183">
        <f t="shared" si="88"/>
        <v>11933.764877410162</v>
      </c>
      <c r="V162" s="184">
        <f t="shared" si="88"/>
        <v>-9654.562807718401</v>
      </c>
      <c r="W162" s="184">
        <f t="shared" si="88"/>
        <v>-8608.8786790438389</v>
      </c>
      <c r="Y162" s="195">
        <f t="shared" si="93"/>
        <v>-3256.9192512643967</v>
      </c>
      <c r="Z162" s="184">
        <f t="shared" si="89"/>
        <v>2707.7648774101617</v>
      </c>
      <c r="AA162" s="184">
        <f t="shared" si="89"/>
        <v>-22255.562807718401</v>
      </c>
      <c r="AB162" s="184">
        <f t="shared" si="89"/>
        <v>-16290.878679043839</v>
      </c>
      <c r="AD162" s="184">
        <f t="shared" si="94"/>
        <v>-431180.91925126442</v>
      </c>
      <c r="AE162" s="184">
        <f t="shared" si="90"/>
        <v>-298964.23512258986</v>
      </c>
      <c r="AF162" s="184">
        <f t="shared" si="90"/>
        <v>-410559.56280771841</v>
      </c>
      <c r="AG162" s="184">
        <f t="shared" si="90"/>
        <v>-278342.87867904385</v>
      </c>
    </row>
    <row r="163" spans="13:33" x14ac:dyDescent="0.3">
      <c r="M163" s="111"/>
      <c r="N163" s="8"/>
      <c r="O163" s="193">
        <f t="shared" si="100"/>
        <v>27577.72788695103</v>
      </c>
      <c r="P163" s="193">
        <f t="shared" si="100"/>
        <v>24485.953600539437</v>
      </c>
      <c r="Q163" s="197">
        <f t="shared" si="100"/>
        <v>5541.932555153152</v>
      </c>
      <c r="R163" s="197">
        <f t="shared" si="100"/>
        <v>2450.1582687415548</v>
      </c>
      <c r="T163" s="193">
        <f t="shared" si="92"/>
        <v>11155.72788695103</v>
      </c>
      <c r="U163" s="193">
        <f t="shared" si="88"/>
        <v>12163.953600539437</v>
      </c>
      <c r="V163" s="197">
        <f t="shared" si="88"/>
        <v>-9593.067444846849</v>
      </c>
      <c r="W163" s="197">
        <f t="shared" si="88"/>
        <v>-8585.8417312584461</v>
      </c>
      <c r="Y163" s="196">
        <f t="shared" si="93"/>
        <v>-2988.2721130489699</v>
      </c>
      <c r="Z163" s="197">
        <f t="shared" si="89"/>
        <v>2937.9536005394366</v>
      </c>
      <c r="AA163" s="197">
        <f t="shared" si="89"/>
        <v>-22194.067444846849</v>
      </c>
      <c r="AB163" s="197">
        <f t="shared" si="89"/>
        <v>-16267.841731258446</v>
      </c>
      <c r="AC163" s="8"/>
      <c r="AD163" s="197">
        <f t="shared" si="94"/>
        <v>-430912.272113049</v>
      </c>
      <c r="AE163" s="197">
        <f t="shared" si="90"/>
        <v>-298734.04639946058</v>
      </c>
      <c r="AF163" s="197">
        <f t="shared" si="90"/>
        <v>-410498.06744484685</v>
      </c>
      <c r="AG163" s="197">
        <f t="shared" si="90"/>
        <v>-278319.84173125844</v>
      </c>
    </row>
    <row r="164" spans="13:33" x14ac:dyDescent="0.3">
      <c r="M164" s="237"/>
      <c r="N164" s="207"/>
      <c r="O164" s="184">
        <f>O124*O133</f>
        <v>1826.05238629</v>
      </c>
      <c r="P164" s="184">
        <f t="shared" ref="P164:R164" si="101">P124*P133</f>
        <v>1627.01003509</v>
      </c>
      <c r="Q164" s="184">
        <f t="shared" si="101"/>
        <v>361.84490143999994</v>
      </c>
      <c r="R164" s="184">
        <f t="shared" si="101"/>
        <v>162.80255023999999</v>
      </c>
      <c r="T164" s="184">
        <f t="shared" si="92"/>
        <v>-14595.947613709999</v>
      </c>
      <c r="U164" s="184">
        <f t="shared" si="92"/>
        <v>-10694.989964910001</v>
      </c>
      <c r="V164" s="184">
        <f t="shared" si="92"/>
        <v>-14773.155098560001</v>
      </c>
      <c r="W164" s="184">
        <f t="shared" si="92"/>
        <v>-10873.19744976</v>
      </c>
      <c r="Y164" s="184">
        <f t="shared" si="93"/>
        <v>-28739.947613709999</v>
      </c>
      <c r="Z164" s="184">
        <f t="shared" si="93"/>
        <v>-19920.989964910001</v>
      </c>
      <c r="AA164" s="184">
        <f t="shared" si="93"/>
        <v>-27374.155098560001</v>
      </c>
      <c r="AB164" s="184">
        <f t="shared" si="93"/>
        <v>-18555.197449759999</v>
      </c>
      <c r="AC164" s="207"/>
      <c r="AD164" s="234"/>
      <c r="AE164" s="234"/>
      <c r="AF164" s="234"/>
      <c r="AG164" s="234"/>
    </row>
    <row r="165" spans="13:33" ht="28.8" x14ac:dyDescent="0.3">
      <c r="M165" s="222" t="s">
        <v>923</v>
      </c>
      <c r="O165" s="184">
        <f t="shared" ref="O165:R167" si="102">O125*O134</f>
        <v>1929.3384277199996</v>
      </c>
      <c r="P165" s="184">
        <f t="shared" si="102"/>
        <v>1715.5100732880001</v>
      </c>
      <c r="Q165" s="184">
        <f t="shared" si="102"/>
        <v>385.4878579199999</v>
      </c>
      <c r="R165" s="184">
        <f t="shared" si="102"/>
        <v>171.65950348799996</v>
      </c>
      <c r="T165" s="184">
        <f t="shared" si="92"/>
        <v>-14492.66157228</v>
      </c>
      <c r="U165" s="184">
        <f t="shared" si="92"/>
        <v>-10606.489926712</v>
      </c>
      <c r="V165" s="184">
        <f t="shared" si="92"/>
        <v>-14749.512142080001</v>
      </c>
      <c r="W165" s="184">
        <f t="shared" si="92"/>
        <v>-10864.340496512001</v>
      </c>
      <c r="Y165" s="184">
        <f t="shared" si="93"/>
        <v>-28636.661572280002</v>
      </c>
      <c r="Z165" s="184">
        <f t="shared" si="93"/>
        <v>-19832.489926711998</v>
      </c>
      <c r="AA165" s="184">
        <f t="shared" si="93"/>
        <v>-27350.512142079999</v>
      </c>
      <c r="AB165" s="184">
        <f t="shared" si="93"/>
        <v>-18546.340496511999</v>
      </c>
      <c r="AD165" s="184">
        <f t="shared" si="94"/>
        <v>-456560.66157227999</v>
      </c>
      <c r="AE165" s="184">
        <f t="shared" si="94"/>
        <v>-321504.48992671201</v>
      </c>
      <c r="AF165" s="184">
        <f t="shared" si="94"/>
        <v>-415654.51214208</v>
      </c>
      <c r="AG165" s="184">
        <f t="shared" si="94"/>
        <v>-280598.34049651201</v>
      </c>
    </row>
    <row r="166" spans="13:33" x14ac:dyDescent="0.3">
      <c r="M166" s="222"/>
      <c r="O166" s="184">
        <f t="shared" si="102"/>
        <v>1989.4032333516002</v>
      </c>
      <c r="P166" s="184">
        <f t="shared" si="102"/>
        <v>1766.9762493477601</v>
      </c>
      <c r="Q166" s="184">
        <f t="shared" si="102"/>
        <v>399.23714645759998</v>
      </c>
      <c r="R166" s="184">
        <f t="shared" si="102"/>
        <v>176.81016245376003</v>
      </c>
      <c r="T166" s="184">
        <f t="shared" si="92"/>
        <v>-14432.596766648399</v>
      </c>
      <c r="U166" s="184">
        <f t="shared" si="92"/>
        <v>-10555.023750652239</v>
      </c>
      <c r="V166" s="184">
        <f t="shared" si="92"/>
        <v>-14735.762853542399</v>
      </c>
      <c r="W166" s="184">
        <f t="shared" si="92"/>
        <v>-10859.189837546241</v>
      </c>
      <c r="Y166" s="184">
        <f t="shared" si="93"/>
        <v>-28576.596766648399</v>
      </c>
      <c r="Z166" s="184">
        <f t="shared" si="93"/>
        <v>-19781.023750652239</v>
      </c>
      <c r="AA166" s="184">
        <f t="shared" si="93"/>
        <v>-27336.762853542401</v>
      </c>
      <c r="AB166" s="184">
        <f t="shared" si="93"/>
        <v>-18541.189837546241</v>
      </c>
      <c r="AD166" s="184">
        <f t="shared" si="94"/>
        <v>-456500.59676664841</v>
      </c>
      <c r="AE166" s="184">
        <f t="shared" si="94"/>
        <v>-321453.02375065227</v>
      </c>
      <c r="AF166" s="184">
        <f t="shared" si="94"/>
        <v>-415640.7628535424</v>
      </c>
      <c r="AG166" s="184">
        <f t="shared" si="94"/>
        <v>-280593.18983754626</v>
      </c>
    </row>
    <row r="167" spans="13:33" x14ac:dyDescent="0.3">
      <c r="M167" s="111"/>
      <c r="N167" s="8"/>
      <c r="O167" s="197">
        <f t="shared" si="102"/>
        <v>2008.9735546785516</v>
      </c>
      <c r="P167" s="197">
        <f t="shared" si="102"/>
        <v>1783.7449642777071</v>
      </c>
      <c r="Q167" s="197">
        <f t="shared" si="102"/>
        <v>403.71694110387193</v>
      </c>
      <c r="R167" s="197">
        <f t="shared" si="102"/>
        <v>178.48835070302715</v>
      </c>
      <c r="T167" s="197">
        <f t="shared" si="92"/>
        <v>-14413.026445321448</v>
      </c>
      <c r="U167" s="197">
        <f t="shared" si="92"/>
        <v>-10538.255035722294</v>
      </c>
      <c r="V167" s="197">
        <f t="shared" si="92"/>
        <v>-14731.283058896128</v>
      </c>
      <c r="W167" s="197">
        <f t="shared" si="92"/>
        <v>-10857.511649296974</v>
      </c>
      <c r="Y167" s="197">
        <f t="shared" si="93"/>
        <v>-28557.026445321448</v>
      </c>
      <c r="Z167" s="197">
        <f t="shared" si="93"/>
        <v>-19764.255035722294</v>
      </c>
      <c r="AA167" s="197">
        <f t="shared" si="93"/>
        <v>-27332.28305889613</v>
      </c>
      <c r="AB167" s="197">
        <f t="shared" si="93"/>
        <v>-18539.511649296972</v>
      </c>
      <c r="AC167" s="8"/>
      <c r="AD167" s="197">
        <f t="shared" si="94"/>
        <v>-456481.02644532145</v>
      </c>
      <c r="AE167" s="197">
        <f t="shared" si="94"/>
        <v>-321436.25503572228</v>
      </c>
      <c r="AF167" s="197">
        <f t="shared" si="94"/>
        <v>-415636.28305889614</v>
      </c>
      <c r="AG167" s="197">
        <f t="shared" si="94"/>
        <v>-280591.51164929697</v>
      </c>
    </row>
    <row r="168" spans="13:33" x14ac:dyDescent="0.3">
      <c r="M168" s="237"/>
      <c r="N168" s="207"/>
      <c r="O168" s="184">
        <f>O128*O133</f>
        <v>249.00714358500005</v>
      </c>
      <c r="P168" s="184">
        <f t="shared" ref="P168:R168" si="103">P128*P133</f>
        <v>221.86500478500002</v>
      </c>
      <c r="Q168" s="184">
        <f t="shared" si="103"/>
        <v>49.342486560000005</v>
      </c>
      <c r="R168" s="184">
        <f t="shared" si="103"/>
        <v>22.20034776</v>
      </c>
      <c r="T168" s="184">
        <f t="shared" si="92"/>
        <v>-16172.992856415</v>
      </c>
      <c r="U168" s="184">
        <f t="shared" si="92"/>
        <v>-12100.134995214999</v>
      </c>
      <c r="V168" s="184">
        <f t="shared" si="92"/>
        <v>-15085.657513439999</v>
      </c>
      <c r="W168" s="184">
        <f t="shared" si="92"/>
        <v>-11013.799652240001</v>
      </c>
      <c r="Y168" s="234"/>
      <c r="Z168" s="234"/>
      <c r="AA168" s="234"/>
      <c r="AB168" s="234"/>
      <c r="AC168" s="207"/>
      <c r="AD168" s="234"/>
      <c r="AE168" s="234"/>
      <c r="AF168" s="234"/>
      <c r="AG168" s="234"/>
    </row>
    <row r="169" spans="13:33" x14ac:dyDescent="0.3">
      <c r="M169" s="222" t="s">
        <v>827</v>
      </c>
      <c r="O169" s="184">
        <f t="shared" ref="O169:R171" si="104">O129*O134</f>
        <v>263.09160377999996</v>
      </c>
      <c r="P169" s="184">
        <f t="shared" si="104"/>
        <v>233.93319181199996</v>
      </c>
      <c r="Q169" s="184">
        <f t="shared" si="104"/>
        <v>52.566526079999996</v>
      </c>
      <c r="R169" s="184">
        <f t="shared" si="104"/>
        <v>23.408114111999996</v>
      </c>
      <c r="T169" s="184">
        <f t="shared" si="92"/>
        <v>-16158.90839622</v>
      </c>
      <c r="U169" s="184">
        <f t="shared" si="92"/>
        <v>-12088.066808187999</v>
      </c>
      <c r="V169" s="184">
        <f t="shared" si="92"/>
        <v>-15082.43347392</v>
      </c>
      <c r="W169" s="184">
        <f t="shared" si="92"/>
        <v>-11012.591885888</v>
      </c>
      <c r="Y169" s="184">
        <f t="shared" si="93"/>
        <v>-30302.908396219998</v>
      </c>
      <c r="Z169" s="184">
        <f t="shared" si="93"/>
        <v>-21314.066808187999</v>
      </c>
      <c r="AA169" s="184">
        <f t="shared" si="93"/>
        <v>-27683.433473919999</v>
      </c>
      <c r="AB169" s="184">
        <f t="shared" si="93"/>
        <v>-18694.591885888</v>
      </c>
      <c r="AD169" s="184">
        <f t="shared" si="94"/>
        <v>-458226.90839622001</v>
      </c>
      <c r="AE169" s="184">
        <f t="shared" si="94"/>
        <v>-322986.06680818798</v>
      </c>
      <c r="AF169" s="184">
        <f t="shared" si="94"/>
        <v>-415987.43347391998</v>
      </c>
      <c r="AG169" s="184">
        <f t="shared" si="94"/>
        <v>-280746.59188588802</v>
      </c>
    </row>
    <row r="170" spans="13:33" x14ac:dyDescent="0.3">
      <c r="M170" s="221" t="s">
        <v>925</v>
      </c>
      <c r="O170" s="184">
        <f t="shared" si="104"/>
        <v>271.2822590934</v>
      </c>
      <c r="P170" s="184">
        <f t="shared" si="104"/>
        <v>240.95130672924</v>
      </c>
      <c r="Q170" s="184">
        <f t="shared" si="104"/>
        <v>54.441429062399997</v>
      </c>
      <c r="R170" s="184">
        <f t="shared" si="104"/>
        <v>24.110476698240006</v>
      </c>
      <c r="T170" s="184">
        <f t="shared" si="92"/>
        <v>-16150.717740906601</v>
      </c>
      <c r="U170" s="184">
        <f t="shared" si="92"/>
        <v>-12081.048693270761</v>
      </c>
      <c r="V170" s="184">
        <f t="shared" si="92"/>
        <v>-15080.558570937599</v>
      </c>
      <c r="W170" s="184">
        <f t="shared" si="92"/>
        <v>-11011.889523301759</v>
      </c>
      <c r="Y170" s="184">
        <f t="shared" si="93"/>
        <v>-30294.717740906599</v>
      </c>
      <c r="Z170" s="184">
        <f t="shared" si="93"/>
        <v>-21307.048693270761</v>
      </c>
      <c r="AA170" s="184">
        <f t="shared" si="93"/>
        <v>-27681.558570937599</v>
      </c>
      <c r="AB170" s="184">
        <f t="shared" si="93"/>
        <v>-18693.889523301761</v>
      </c>
      <c r="AD170" s="184">
        <f t="shared" si="94"/>
        <v>-458218.71774090658</v>
      </c>
      <c r="AE170" s="184">
        <f t="shared" si="94"/>
        <v>-322979.04869327077</v>
      </c>
      <c r="AF170" s="184">
        <f t="shared" si="94"/>
        <v>-415985.5585709376</v>
      </c>
      <c r="AG170" s="184">
        <f t="shared" si="94"/>
        <v>-280745.88952330174</v>
      </c>
    </row>
    <row r="171" spans="13:33" x14ac:dyDescent="0.3">
      <c r="M171" s="8"/>
      <c r="N171" s="8"/>
      <c r="O171" s="184">
        <f t="shared" si="104"/>
        <v>273.950939274348</v>
      </c>
      <c r="P171" s="184">
        <f t="shared" si="104"/>
        <v>243.23794967423279</v>
      </c>
      <c r="Q171" s="184">
        <f t="shared" si="104"/>
        <v>55.052310150528001</v>
      </c>
      <c r="R171" s="184">
        <f t="shared" si="104"/>
        <v>24.339320550412793</v>
      </c>
      <c r="T171" s="184">
        <f t="shared" si="92"/>
        <v>-16148.049060725652</v>
      </c>
      <c r="U171" s="184">
        <f t="shared" si="92"/>
        <v>-12078.762050325768</v>
      </c>
      <c r="V171" s="184">
        <f t="shared" si="92"/>
        <v>-15079.947689849472</v>
      </c>
      <c r="W171" s="184">
        <f t="shared" si="92"/>
        <v>-11011.660679449587</v>
      </c>
      <c r="Y171" s="184">
        <f t="shared" si="93"/>
        <v>-30292.049060725651</v>
      </c>
      <c r="Z171" s="184">
        <f t="shared" si="93"/>
        <v>-21304.762050325768</v>
      </c>
      <c r="AA171" s="184">
        <f t="shared" si="93"/>
        <v>-27680.947689849472</v>
      </c>
      <c r="AB171" s="184">
        <f t="shared" si="93"/>
        <v>-18693.660679449586</v>
      </c>
      <c r="AD171" s="184">
        <f t="shared" si="94"/>
        <v>-458216.04906072567</v>
      </c>
      <c r="AE171" s="184">
        <f t="shared" si="94"/>
        <v>-322976.76205032575</v>
      </c>
      <c r="AF171" s="184">
        <f t="shared" si="94"/>
        <v>-415984.94768984948</v>
      </c>
      <c r="AG171" s="184">
        <f t="shared" si="94"/>
        <v>-280745.66067944956</v>
      </c>
    </row>
    <row r="174" spans="13:33" x14ac:dyDescent="0.3">
      <c r="M174" s="221" t="s">
        <v>858</v>
      </c>
      <c r="T174" s="221" t="s">
        <v>969</v>
      </c>
      <c r="Y174" s="221" t="s">
        <v>968</v>
      </c>
      <c r="AD174" s="221" t="s">
        <v>970</v>
      </c>
    </row>
    <row r="175" spans="13:33" x14ac:dyDescent="0.3">
      <c r="M175" s="176" t="s">
        <v>823</v>
      </c>
      <c r="O175" s="188" t="s">
        <v>828</v>
      </c>
      <c r="P175" s="188" t="s">
        <v>829</v>
      </c>
      <c r="Q175" s="188" t="s">
        <v>830</v>
      </c>
      <c r="R175" s="188" t="s">
        <v>831</v>
      </c>
      <c r="T175" s="170">
        <f>11789+4633</f>
        <v>16422</v>
      </c>
      <c r="U175" s="170">
        <f>7689+4633</f>
        <v>12322</v>
      </c>
      <c r="V175" s="170">
        <f>10502+4633</f>
        <v>15135</v>
      </c>
      <c r="W175" s="170">
        <f>6403+4633</f>
        <v>11036</v>
      </c>
      <c r="X175" s="8"/>
      <c r="Y175" s="170">
        <f>25933+4633</f>
        <v>30566</v>
      </c>
      <c r="Z175" s="170">
        <f>16915+4633</f>
        <v>21548</v>
      </c>
      <c r="AA175" s="170">
        <f>23103+4633</f>
        <v>27736</v>
      </c>
      <c r="AB175" s="170">
        <f>14085+4633</f>
        <v>18718</v>
      </c>
      <c r="AC175" s="8"/>
      <c r="AD175" s="170">
        <f>Y175*15</f>
        <v>458490</v>
      </c>
      <c r="AE175" s="170">
        <f>Z175*15</f>
        <v>323220</v>
      </c>
      <c r="AF175" s="170">
        <f>AA175*15</f>
        <v>416040</v>
      </c>
      <c r="AG175" s="170">
        <f>AB175*15</f>
        <v>280770</v>
      </c>
    </row>
    <row r="176" spans="13:33" x14ac:dyDescent="0.3">
      <c r="M176" s="225"/>
      <c r="O176" s="182">
        <f>O108*(O133+O137)</f>
        <v>100500976.48500001</v>
      </c>
      <c r="P176" s="182">
        <f t="shared" ref="P176:R176" si="105">P108*(P133+P137)</f>
        <v>91453596.88499999</v>
      </c>
      <c r="Q176" s="182">
        <f t="shared" si="105"/>
        <v>33946090.810000002</v>
      </c>
      <c r="R176" s="182">
        <f t="shared" si="105"/>
        <v>24898711.209999997</v>
      </c>
      <c r="T176" s="182">
        <f>O176-T$147</f>
        <v>100484554.48500001</v>
      </c>
      <c r="U176" s="182">
        <f t="shared" ref="U176:W191" si="106">P176-U$147</f>
        <v>91441274.88499999</v>
      </c>
      <c r="V176" s="182">
        <f t="shared" si="106"/>
        <v>33930955.810000002</v>
      </c>
      <c r="W176" s="182">
        <f t="shared" si="106"/>
        <v>24887675.209999997</v>
      </c>
      <c r="X176" s="207"/>
      <c r="Y176" s="182">
        <f>O176-Y$175</f>
        <v>100470410.48500001</v>
      </c>
      <c r="Z176" s="182">
        <f t="shared" ref="Z176:AB191" si="107">P176-Z$175</f>
        <v>91432048.88499999</v>
      </c>
      <c r="AA176" s="182">
        <f t="shared" si="107"/>
        <v>33918354.810000002</v>
      </c>
      <c r="AB176" s="182">
        <f t="shared" si="107"/>
        <v>24879993.209999997</v>
      </c>
      <c r="AC176" s="207"/>
      <c r="AD176" s="182">
        <f>O176-AD$175</f>
        <v>100042486.48500001</v>
      </c>
      <c r="AE176" s="182">
        <f t="shared" ref="AE176:AG191" si="108">P176-AE$175</f>
        <v>91130376.88499999</v>
      </c>
      <c r="AF176" s="182">
        <f t="shared" si="108"/>
        <v>33530050.810000002</v>
      </c>
      <c r="AG176" s="182">
        <f t="shared" si="108"/>
        <v>24617941.209999997</v>
      </c>
    </row>
    <row r="177" spans="13:33" x14ac:dyDescent="0.3">
      <c r="M177" s="222" t="s">
        <v>826</v>
      </c>
      <c r="O177" s="182">
        <f t="shared" ref="O177:R179" si="109">O109*(O134+O138)</f>
        <v>106125078.98199999</v>
      </c>
      <c r="P177" s="182">
        <f t="shared" si="109"/>
        <v>96405608.326000005</v>
      </c>
      <c r="Q177" s="182">
        <f t="shared" si="109"/>
        <v>35950053.081999995</v>
      </c>
      <c r="R177" s="182">
        <f t="shared" si="109"/>
        <v>26230582.425999999</v>
      </c>
      <c r="T177" s="182">
        <f>O177-T$147</f>
        <v>106108656.98199999</v>
      </c>
      <c r="U177" s="182">
        <f t="shared" si="106"/>
        <v>96393286.326000005</v>
      </c>
      <c r="V177" s="182">
        <f t="shared" si="106"/>
        <v>35934918.081999995</v>
      </c>
      <c r="W177" s="182">
        <f t="shared" si="106"/>
        <v>26219546.425999999</v>
      </c>
      <c r="Y177" s="182">
        <f>O177-Y$175</f>
        <v>106094512.98199999</v>
      </c>
      <c r="Z177" s="182">
        <f t="shared" si="107"/>
        <v>96384060.326000005</v>
      </c>
      <c r="AA177" s="182">
        <f t="shared" si="107"/>
        <v>35922317.081999995</v>
      </c>
      <c r="AB177" s="182">
        <f t="shared" si="107"/>
        <v>26211864.425999999</v>
      </c>
      <c r="AC177" s="101"/>
      <c r="AD177" s="182">
        <f>O177-AD$175</f>
        <v>105666588.98199999</v>
      </c>
      <c r="AE177" s="182">
        <f t="shared" si="108"/>
        <v>96082388.326000005</v>
      </c>
      <c r="AF177" s="182">
        <f t="shared" si="108"/>
        <v>35534013.081999995</v>
      </c>
      <c r="AG177" s="182">
        <f t="shared" si="108"/>
        <v>25949812.425999999</v>
      </c>
    </row>
    <row r="178" spans="13:33" x14ac:dyDescent="0.3">
      <c r="M178" s="222" t="s">
        <v>924</v>
      </c>
      <c r="O178" s="182">
        <f t="shared" si="109"/>
        <v>109395710.89564</v>
      </c>
      <c r="P178" s="182">
        <f t="shared" si="109"/>
        <v>99285393.440919995</v>
      </c>
      <c r="Q178" s="182">
        <f t="shared" si="109"/>
        <v>37115434.21864</v>
      </c>
      <c r="R178" s="182">
        <f t="shared" si="109"/>
        <v>27005116.763920002</v>
      </c>
      <c r="T178" s="182">
        <f t="shared" ref="T178:W193" si="110">O178-T$147</f>
        <v>109379288.89564</v>
      </c>
      <c r="U178" s="182">
        <f t="shared" si="106"/>
        <v>99273071.440919995</v>
      </c>
      <c r="V178" s="182">
        <f t="shared" si="106"/>
        <v>37100299.21864</v>
      </c>
      <c r="W178" s="182">
        <f t="shared" si="106"/>
        <v>26994080.763920002</v>
      </c>
      <c r="Y178" s="182">
        <f t="shared" ref="Y178:AB199" si="111">O178-Y$175</f>
        <v>109365144.89564</v>
      </c>
      <c r="Z178" s="182">
        <f t="shared" si="107"/>
        <v>99263845.440919995</v>
      </c>
      <c r="AA178" s="182">
        <f t="shared" si="107"/>
        <v>37087698.21864</v>
      </c>
      <c r="AB178" s="182">
        <f t="shared" si="107"/>
        <v>26986398.763920002</v>
      </c>
      <c r="AC178" s="101"/>
      <c r="AD178" s="182">
        <f t="shared" ref="AD178:AG199" si="112">O178-AD$175</f>
        <v>108937220.89564</v>
      </c>
      <c r="AE178" s="182">
        <f t="shared" si="108"/>
        <v>98962173.440919995</v>
      </c>
      <c r="AF178" s="182">
        <f t="shared" si="108"/>
        <v>36699394.21864</v>
      </c>
      <c r="AG178" s="182">
        <f t="shared" si="108"/>
        <v>26724346.763920002</v>
      </c>
    </row>
    <row r="179" spans="13:33" x14ac:dyDescent="0.3">
      <c r="M179" s="111"/>
      <c r="N179" s="8"/>
      <c r="O179" s="194">
        <f t="shared" si="109"/>
        <v>110461348.53184079</v>
      </c>
      <c r="P179" s="194">
        <f t="shared" si="109"/>
        <v>100223685.3318024</v>
      </c>
      <c r="Q179" s="194">
        <f t="shared" si="109"/>
        <v>37495138.823900796</v>
      </c>
      <c r="R179" s="194">
        <f t="shared" si="109"/>
        <v>27257475.623862397</v>
      </c>
      <c r="T179" s="194">
        <f t="shared" si="110"/>
        <v>110444926.53184079</v>
      </c>
      <c r="U179" s="194">
        <f t="shared" si="106"/>
        <v>100211363.3318024</v>
      </c>
      <c r="V179" s="194">
        <f t="shared" si="106"/>
        <v>37480003.823900796</v>
      </c>
      <c r="W179" s="194">
        <f t="shared" si="106"/>
        <v>27246439.623862397</v>
      </c>
      <c r="Y179" s="194">
        <f t="shared" si="111"/>
        <v>110430782.53184079</v>
      </c>
      <c r="Z179" s="194">
        <f t="shared" si="107"/>
        <v>100202137.3318024</v>
      </c>
      <c r="AA179" s="194">
        <f t="shared" si="107"/>
        <v>37467402.823900796</v>
      </c>
      <c r="AB179" s="194">
        <f t="shared" si="107"/>
        <v>27238757.623862397</v>
      </c>
      <c r="AC179" s="208"/>
      <c r="AD179" s="194">
        <f t="shared" si="112"/>
        <v>110002858.53184079</v>
      </c>
      <c r="AE179" s="194">
        <f t="shared" si="108"/>
        <v>99900465.331802398</v>
      </c>
      <c r="AF179" s="194">
        <f t="shared" si="108"/>
        <v>37079098.823900796</v>
      </c>
      <c r="AG179" s="194">
        <f t="shared" si="108"/>
        <v>26976705.623862397</v>
      </c>
    </row>
    <row r="180" spans="13:33" x14ac:dyDescent="0.3">
      <c r="M180" s="237"/>
      <c r="N180" s="207"/>
      <c r="O180" s="182">
        <f>O112*(O133+O137)</f>
        <v>979080.51291686995</v>
      </c>
      <c r="P180" s="195">
        <f t="shared" ref="P180:R180" si="113">P112*(P133+P137)</f>
        <v>890940.94085367001</v>
      </c>
      <c r="Q180" s="195">
        <f t="shared" si="113"/>
        <v>330702.81667102</v>
      </c>
      <c r="R180" s="195">
        <f t="shared" si="113"/>
        <v>242563.24460782</v>
      </c>
      <c r="T180" s="182">
        <f t="shared" si="110"/>
        <v>962658.51291686995</v>
      </c>
      <c r="U180" s="195">
        <f t="shared" si="106"/>
        <v>878618.94085367001</v>
      </c>
      <c r="V180" s="195">
        <f t="shared" si="106"/>
        <v>315567.81667102</v>
      </c>
      <c r="W180" s="195">
        <f t="shared" si="106"/>
        <v>231527.24460782</v>
      </c>
      <c r="Y180" s="182">
        <f t="shared" si="111"/>
        <v>948514.51291686995</v>
      </c>
      <c r="Z180" s="195">
        <f t="shared" si="107"/>
        <v>869392.94085367001</v>
      </c>
      <c r="AA180" s="195">
        <f t="shared" si="107"/>
        <v>302966.81667102</v>
      </c>
      <c r="AB180" s="195">
        <f t="shared" si="107"/>
        <v>223845.24460782</v>
      </c>
      <c r="AC180" s="208"/>
      <c r="AD180" s="195">
        <f t="shared" si="112"/>
        <v>520590.51291686995</v>
      </c>
      <c r="AE180" s="195">
        <f t="shared" si="108"/>
        <v>567720.94085367001</v>
      </c>
      <c r="AF180" s="184">
        <f t="shared" si="108"/>
        <v>-85337.183328979998</v>
      </c>
      <c r="AG180" s="184">
        <f t="shared" si="108"/>
        <v>-38206.755392179999</v>
      </c>
    </row>
    <row r="181" spans="13:33" ht="28.8" x14ac:dyDescent="0.3">
      <c r="M181" s="222" t="s">
        <v>920</v>
      </c>
      <c r="O181" s="182">
        <f t="shared" ref="O181:R183" si="114">O113*(O134+O138)</f>
        <v>1033870.5194426439</v>
      </c>
      <c r="P181" s="195">
        <f t="shared" si="114"/>
        <v>939183.436311892</v>
      </c>
      <c r="Q181" s="195">
        <f t="shared" si="114"/>
        <v>350225.41712484392</v>
      </c>
      <c r="R181" s="195">
        <f t="shared" si="114"/>
        <v>255538.33399409198</v>
      </c>
      <c r="T181" s="182">
        <f t="shared" si="110"/>
        <v>1017448.5194426439</v>
      </c>
      <c r="U181" s="195">
        <f t="shared" si="106"/>
        <v>926861.436311892</v>
      </c>
      <c r="V181" s="195">
        <f t="shared" si="106"/>
        <v>335090.41712484392</v>
      </c>
      <c r="W181" s="195">
        <f t="shared" si="106"/>
        <v>244502.33399409198</v>
      </c>
      <c r="Y181" s="182">
        <f t="shared" si="111"/>
        <v>1003304.5194426439</v>
      </c>
      <c r="Z181" s="195">
        <f t="shared" si="107"/>
        <v>917635.436311892</v>
      </c>
      <c r="AA181" s="195">
        <f t="shared" si="107"/>
        <v>322489.41712484392</v>
      </c>
      <c r="AB181" s="195">
        <f t="shared" si="107"/>
        <v>236820.33399409198</v>
      </c>
      <c r="AC181" s="101"/>
      <c r="AD181" s="195">
        <f t="shared" si="112"/>
        <v>575380.51944264385</v>
      </c>
      <c r="AE181" s="195">
        <f t="shared" si="108"/>
        <v>615963.436311892</v>
      </c>
      <c r="AF181" s="184">
        <f t="shared" si="108"/>
        <v>-65814.582875156077</v>
      </c>
      <c r="AG181" s="184">
        <f t="shared" si="108"/>
        <v>-25231.666005908017</v>
      </c>
    </row>
    <row r="182" spans="13:33" x14ac:dyDescent="0.3">
      <c r="M182" s="222"/>
      <c r="O182" s="182">
        <f t="shared" si="114"/>
        <v>1065733.0155453249</v>
      </c>
      <c r="P182" s="195">
        <f t="shared" si="114"/>
        <v>967238.30290144263</v>
      </c>
      <c r="Q182" s="195">
        <f t="shared" si="114"/>
        <v>361578.5601579909</v>
      </c>
      <c r="R182" s="195">
        <f t="shared" si="114"/>
        <v>263083.84751410864</v>
      </c>
      <c r="T182" s="182">
        <f t="shared" si="110"/>
        <v>1049311.0155453249</v>
      </c>
      <c r="U182" s="195">
        <f t="shared" si="106"/>
        <v>954916.30290144263</v>
      </c>
      <c r="V182" s="195">
        <f t="shared" si="106"/>
        <v>346443.5601579909</v>
      </c>
      <c r="W182" s="195">
        <f t="shared" si="106"/>
        <v>252047.84751410864</v>
      </c>
      <c r="Y182" s="182">
        <f t="shared" si="111"/>
        <v>1035167.0155453249</v>
      </c>
      <c r="Z182" s="195">
        <f t="shared" si="107"/>
        <v>945690.30290144263</v>
      </c>
      <c r="AA182" s="195">
        <f t="shared" si="107"/>
        <v>333842.5601579909</v>
      </c>
      <c r="AB182" s="195">
        <f t="shared" si="107"/>
        <v>244365.84751410864</v>
      </c>
      <c r="AC182" s="101"/>
      <c r="AD182" s="195">
        <f t="shared" si="112"/>
        <v>607243.01554532489</v>
      </c>
      <c r="AE182" s="195">
        <f t="shared" si="108"/>
        <v>644018.30290144263</v>
      </c>
      <c r="AF182" s="184">
        <f t="shared" si="108"/>
        <v>-54461.439842009102</v>
      </c>
      <c r="AG182" s="184">
        <f t="shared" si="108"/>
        <v>-17686.152485891362</v>
      </c>
    </row>
    <row r="183" spans="13:33" x14ac:dyDescent="0.3">
      <c r="M183" s="111"/>
      <c r="N183" s="8"/>
      <c r="O183" s="194">
        <f t="shared" si="114"/>
        <v>1076114.4573971932</v>
      </c>
      <c r="P183" s="196">
        <f t="shared" si="114"/>
        <v>976379.14250241907</v>
      </c>
      <c r="Q183" s="196">
        <f t="shared" si="114"/>
        <v>365277.64242244163</v>
      </c>
      <c r="R183" s="196">
        <f t="shared" si="114"/>
        <v>265542.32752766745</v>
      </c>
      <c r="T183" s="194">
        <f t="shared" si="110"/>
        <v>1059692.4573971932</v>
      </c>
      <c r="U183" s="196">
        <f t="shared" si="106"/>
        <v>964057.14250241907</v>
      </c>
      <c r="V183" s="196">
        <f t="shared" si="106"/>
        <v>350142.64242244163</v>
      </c>
      <c r="W183" s="196">
        <f t="shared" si="106"/>
        <v>254506.32752766745</v>
      </c>
      <c r="Y183" s="194">
        <f t="shared" si="111"/>
        <v>1045548.4573971932</v>
      </c>
      <c r="Z183" s="196">
        <f t="shared" si="107"/>
        <v>954831.14250241907</v>
      </c>
      <c r="AA183" s="196">
        <f t="shared" si="107"/>
        <v>337541.64242244163</v>
      </c>
      <c r="AB183" s="196">
        <f t="shared" si="107"/>
        <v>246824.32752766745</v>
      </c>
      <c r="AC183" s="208"/>
      <c r="AD183" s="196">
        <f t="shared" si="112"/>
        <v>617624.45739719318</v>
      </c>
      <c r="AE183" s="196">
        <f t="shared" si="108"/>
        <v>653159.14250241907</v>
      </c>
      <c r="AF183" s="197">
        <f t="shared" si="108"/>
        <v>-50762.357577558374</v>
      </c>
      <c r="AG183" s="197">
        <f t="shared" si="108"/>
        <v>-15227.672472332546</v>
      </c>
    </row>
    <row r="184" spans="13:33" x14ac:dyDescent="0.3">
      <c r="M184" s="237"/>
      <c r="N184" s="207"/>
      <c r="O184" s="195">
        <f>O116*(O133+O137)</f>
        <v>237483.80743405505</v>
      </c>
      <c r="P184" s="195">
        <f t="shared" ref="P184:R184" si="115">P116*(P133+P137)</f>
        <v>216104.84943925499</v>
      </c>
      <c r="Q184" s="183">
        <f t="shared" si="115"/>
        <v>80214.612584030008</v>
      </c>
      <c r="R184" s="183">
        <f t="shared" si="115"/>
        <v>58835.654589229998</v>
      </c>
      <c r="T184" s="195">
        <f t="shared" si="110"/>
        <v>221061.80743405505</v>
      </c>
      <c r="U184" s="195">
        <f t="shared" si="106"/>
        <v>203782.84943925499</v>
      </c>
      <c r="V184" s="183">
        <f t="shared" si="106"/>
        <v>65079.612584030008</v>
      </c>
      <c r="W184" s="183">
        <f t="shared" si="106"/>
        <v>47799.654589229998</v>
      </c>
      <c r="Y184" s="195">
        <f t="shared" si="111"/>
        <v>206917.80743405505</v>
      </c>
      <c r="Z184" s="195">
        <f t="shared" si="107"/>
        <v>194556.84943925499</v>
      </c>
      <c r="AA184" s="183">
        <f t="shared" si="107"/>
        <v>52478.612584030008</v>
      </c>
      <c r="AB184" s="183">
        <f t="shared" si="107"/>
        <v>40117.654589229998</v>
      </c>
      <c r="AC184" s="208"/>
      <c r="AD184" s="195">
        <f t="shared" si="112"/>
        <v>-221006.19256594495</v>
      </c>
      <c r="AE184" s="184">
        <f t="shared" si="108"/>
        <v>-107115.15056074501</v>
      </c>
      <c r="AF184" s="184">
        <f t="shared" si="108"/>
        <v>-335825.38741596998</v>
      </c>
      <c r="AG184" s="184">
        <f t="shared" si="108"/>
        <v>-221934.34541077001</v>
      </c>
    </row>
    <row r="185" spans="13:33" ht="28.8" x14ac:dyDescent="0.3">
      <c r="M185" s="222" t="s">
        <v>921</v>
      </c>
      <c r="O185" s="195">
        <f t="shared" ref="O185:R187" si="116">O117*(O134+O138)</f>
        <v>250773.56163446602</v>
      </c>
      <c r="P185" s="195">
        <f t="shared" si="116"/>
        <v>227806.452474338</v>
      </c>
      <c r="Q185" s="183">
        <f t="shared" si="116"/>
        <v>84949.97543276599</v>
      </c>
      <c r="R185" s="183">
        <f t="shared" si="116"/>
        <v>61982.866272638006</v>
      </c>
      <c r="T185" s="195">
        <f t="shared" si="110"/>
        <v>234351.56163446602</v>
      </c>
      <c r="U185" s="195">
        <f t="shared" si="106"/>
        <v>215484.452474338</v>
      </c>
      <c r="V185" s="183">
        <f t="shared" si="106"/>
        <v>69814.97543276599</v>
      </c>
      <c r="W185" s="183">
        <f t="shared" si="106"/>
        <v>50946.866272638006</v>
      </c>
      <c r="Y185" s="195">
        <f t="shared" si="111"/>
        <v>220207.56163446602</v>
      </c>
      <c r="Z185" s="195">
        <f t="shared" si="107"/>
        <v>206258.452474338</v>
      </c>
      <c r="AA185" s="183">
        <f t="shared" si="107"/>
        <v>57213.97543276599</v>
      </c>
      <c r="AB185" s="183">
        <f t="shared" si="107"/>
        <v>43264.866272638006</v>
      </c>
      <c r="AC185" s="101"/>
      <c r="AD185" s="195">
        <f t="shared" si="112"/>
        <v>-207716.43836553398</v>
      </c>
      <c r="AE185" s="184">
        <f t="shared" si="108"/>
        <v>-95413.547525661997</v>
      </c>
      <c r="AF185" s="184">
        <f t="shared" si="108"/>
        <v>-331090.02456723398</v>
      </c>
      <c r="AG185" s="184">
        <f t="shared" si="108"/>
        <v>-218787.133727362</v>
      </c>
    </row>
    <row r="186" spans="13:33" x14ac:dyDescent="0.3">
      <c r="M186" s="222"/>
      <c r="O186" s="195">
        <f t="shared" si="116"/>
        <v>258502.06484639735</v>
      </c>
      <c r="P186" s="195">
        <f t="shared" si="116"/>
        <v>234611.38470089392</v>
      </c>
      <c r="Q186" s="183">
        <f t="shared" si="116"/>
        <v>87703.771058646322</v>
      </c>
      <c r="R186" s="183">
        <f t="shared" si="116"/>
        <v>63813.090913142965</v>
      </c>
      <c r="T186" s="195">
        <f t="shared" si="110"/>
        <v>242080.06484639735</v>
      </c>
      <c r="U186" s="195">
        <f t="shared" si="106"/>
        <v>222289.38470089392</v>
      </c>
      <c r="V186" s="183">
        <f t="shared" si="106"/>
        <v>72568.771058646322</v>
      </c>
      <c r="W186" s="183">
        <f t="shared" si="106"/>
        <v>52777.090913142965</v>
      </c>
      <c r="Y186" s="195">
        <f t="shared" si="111"/>
        <v>227936.06484639735</v>
      </c>
      <c r="Z186" s="195">
        <f t="shared" si="107"/>
        <v>213063.38470089392</v>
      </c>
      <c r="AA186" s="183">
        <f t="shared" si="107"/>
        <v>59967.771058646322</v>
      </c>
      <c r="AB186" s="183">
        <f t="shared" si="107"/>
        <v>45095.090913142965</v>
      </c>
      <c r="AC186" s="101"/>
      <c r="AD186" s="195">
        <f t="shared" si="112"/>
        <v>-199987.93515360265</v>
      </c>
      <c r="AE186" s="184">
        <f t="shared" si="108"/>
        <v>-88608.615299106081</v>
      </c>
      <c r="AF186" s="184">
        <f t="shared" si="108"/>
        <v>-328336.22894135368</v>
      </c>
      <c r="AG186" s="184">
        <f t="shared" si="108"/>
        <v>-216956.90908685705</v>
      </c>
    </row>
    <row r="187" spans="13:33" x14ac:dyDescent="0.3">
      <c r="M187" s="111"/>
      <c r="N187" s="8"/>
      <c r="O187" s="196">
        <f t="shared" si="116"/>
        <v>261020.16658073987</v>
      </c>
      <c r="P187" s="196">
        <f t="shared" si="116"/>
        <v>236828.56843904909</v>
      </c>
      <c r="Q187" s="193">
        <f t="shared" si="116"/>
        <v>88601.013040877602</v>
      </c>
      <c r="R187" s="193">
        <f t="shared" si="116"/>
        <v>64409.41489918685</v>
      </c>
      <c r="T187" s="196">
        <f t="shared" si="110"/>
        <v>244598.16658073987</v>
      </c>
      <c r="U187" s="196">
        <f t="shared" si="106"/>
        <v>224506.56843904909</v>
      </c>
      <c r="V187" s="193">
        <f t="shared" si="106"/>
        <v>73466.013040877602</v>
      </c>
      <c r="W187" s="193">
        <f t="shared" si="106"/>
        <v>53373.41489918685</v>
      </c>
      <c r="Y187" s="196">
        <f t="shared" si="111"/>
        <v>230454.16658073987</v>
      </c>
      <c r="Z187" s="196">
        <f t="shared" si="107"/>
        <v>215280.56843904909</v>
      </c>
      <c r="AA187" s="193">
        <f t="shared" si="107"/>
        <v>60865.013040877602</v>
      </c>
      <c r="AB187" s="193">
        <f t="shared" si="107"/>
        <v>45691.41489918685</v>
      </c>
      <c r="AC187" s="101"/>
      <c r="AD187" s="196">
        <f t="shared" si="112"/>
        <v>-197469.83341926013</v>
      </c>
      <c r="AE187" s="197">
        <f t="shared" si="108"/>
        <v>-86391.431560950907</v>
      </c>
      <c r="AF187" s="197">
        <f t="shared" si="108"/>
        <v>-327438.98695912241</v>
      </c>
      <c r="AG187" s="197">
        <f t="shared" si="108"/>
        <v>-216360.58510081316</v>
      </c>
    </row>
    <row r="188" spans="13:33" x14ac:dyDescent="0.3">
      <c r="M188" s="237"/>
      <c r="N188" s="207"/>
      <c r="O188" s="183">
        <f>O120*(O133+O137)</f>
        <v>30351.294898470009</v>
      </c>
      <c r="P188" s="183">
        <f t="shared" ref="P188:R188" si="117">P120*(P133+P137)</f>
        <v>27618.986259270005</v>
      </c>
      <c r="Q188" s="183">
        <f t="shared" si="117"/>
        <v>10251.719424620002</v>
      </c>
      <c r="R188" s="184">
        <f t="shared" si="117"/>
        <v>7519.4107854199983</v>
      </c>
      <c r="T188" s="183">
        <f t="shared" si="110"/>
        <v>13929.294898470009</v>
      </c>
      <c r="U188" s="183">
        <f t="shared" si="106"/>
        <v>15296.986259270005</v>
      </c>
      <c r="V188" s="184">
        <f t="shared" si="106"/>
        <v>-4883.2805753799985</v>
      </c>
      <c r="W188" s="184">
        <f t="shared" si="106"/>
        <v>-3516.5892145800017</v>
      </c>
      <c r="Y188" s="184">
        <f t="shared" si="111"/>
        <v>-214.70510152999123</v>
      </c>
      <c r="Z188" s="184">
        <f t="shared" si="107"/>
        <v>6070.9862592700047</v>
      </c>
      <c r="AA188" s="184">
        <f t="shared" si="107"/>
        <v>-17484.280575379998</v>
      </c>
      <c r="AB188" s="184">
        <f t="shared" si="107"/>
        <v>-11198.589214580003</v>
      </c>
      <c r="AC188" s="101"/>
      <c r="AD188" s="184">
        <f t="shared" si="112"/>
        <v>-428138.70510153001</v>
      </c>
      <c r="AE188" s="184">
        <f t="shared" si="108"/>
        <v>-295601.01374073001</v>
      </c>
      <c r="AF188" s="184">
        <f t="shared" si="108"/>
        <v>-405788.28057538002</v>
      </c>
      <c r="AG188" s="184">
        <f t="shared" si="108"/>
        <v>-273250.58921458002</v>
      </c>
    </row>
    <row r="189" spans="13:33" ht="28.8" x14ac:dyDescent="0.3">
      <c r="M189" s="222" t="s">
        <v>922</v>
      </c>
      <c r="O189" s="183">
        <f t="shared" ref="O189:R191" si="118">O121*(O134+O138)</f>
        <v>32049.773852564002</v>
      </c>
      <c r="P189" s="183">
        <f t="shared" si="118"/>
        <v>29114.493714452004</v>
      </c>
      <c r="Q189" s="183">
        <f t="shared" si="118"/>
        <v>10856.916030764</v>
      </c>
      <c r="R189" s="184">
        <f t="shared" si="118"/>
        <v>7921.6358926519997</v>
      </c>
      <c r="T189" s="183">
        <f t="shared" si="110"/>
        <v>15627.773852564002</v>
      </c>
      <c r="U189" s="183">
        <f t="shared" si="106"/>
        <v>16792.493714452004</v>
      </c>
      <c r="V189" s="184">
        <f t="shared" si="106"/>
        <v>-4278.0839692360005</v>
      </c>
      <c r="W189" s="184">
        <f t="shared" si="106"/>
        <v>-3114.3641073480003</v>
      </c>
      <c r="Y189" s="184">
        <f t="shared" si="111"/>
        <v>1483.7738525640016</v>
      </c>
      <c r="Z189" s="184">
        <f t="shared" si="107"/>
        <v>7566.4937144520045</v>
      </c>
      <c r="AA189" s="184">
        <f t="shared" si="107"/>
        <v>-16879.083969236002</v>
      </c>
      <c r="AB189" s="184">
        <f t="shared" si="107"/>
        <v>-10796.364107347999</v>
      </c>
      <c r="AC189" s="101"/>
      <c r="AD189" s="184">
        <f t="shared" si="112"/>
        <v>-426440.22614743601</v>
      </c>
      <c r="AE189" s="184">
        <f t="shared" si="108"/>
        <v>-294105.50628554798</v>
      </c>
      <c r="AF189" s="184">
        <f t="shared" si="108"/>
        <v>-405183.083969236</v>
      </c>
      <c r="AG189" s="184">
        <f t="shared" si="108"/>
        <v>-272848.36410734802</v>
      </c>
    </row>
    <row r="190" spans="13:33" x14ac:dyDescent="0.3">
      <c r="M190" s="222"/>
      <c r="O190" s="183">
        <f t="shared" si="118"/>
        <v>33037.504690483285</v>
      </c>
      <c r="P190" s="183">
        <f t="shared" si="118"/>
        <v>29984.188819157844</v>
      </c>
      <c r="Q190" s="183">
        <f t="shared" si="118"/>
        <v>11208.861134029279</v>
      </c>
      <c r="R190" s="184">
        <f t="shared" si="118"/>
        <v>8155.5452627038403</v>
      </c>
      <c r="T190" s="183">
        <f t="shared" si="110"/>
        <v>16615.504690483285</v>
      </c>
      <c r="U190" s="183">
        <f t="shared" si="106"/>
        <v>17662.188819157844</v>
      </c>
      <c r="V190" s="184">
        <f t="shared" si="106"/>
        <v>-3926.1388659707209</v>
      </c>
      <c r="W190" s="184">
        <f t="shared" si="106"/>
        <v>-2880.4547372961597</v>
      </c>
      <c r="Y190" s="184">
        <f t="shared" si="111"/>
        <v>2471.5046904832852</v>
      </c>
      <c r="Z190" s="184">
        <f t="shared" si="107"/>
        <v>8436.1888191578437</v>
      </c>
      <c r="AA190" s="184">
        <f t="shared" si="107"/>
        <v>-16527.138865970723</v>
      </c>
      <c r="AB190" s="184">
        <f t="shared" si="107"/>
        <v>-10562.454737296161</v>
      </c>
      <c r="AC190" s="101"/>
      <c r="AD190" s="184">
        <f t="shared" si="112"/>
        <v>-425452.49530951673</v>
      </c>
      <c r="AE190" s="184">
        <f t="shared" si="108"/>
        <v>-293235.81118084217</v>
      </c>
      <c r="AF190" s="184">
        <f t="shared" si="108"/>
        <v>-404831.13886597072</v>
      </c>
      <c r="AG190" s="184">
        <f t="shared" si="108"/>
        <v>-272614.45473729615</v>
      </c>
    </row>
    <row r="191" spans="13:33" x14ac:dyDescent="0.3">
      <c r="M191" s="111"/>
      <c r="N191" s="8"/>
      <c r="O191" s="193">
        <f t="shared" si="118"/>
        <v>33359.327256615921</v>
      </c>
      <c r="P191" s="193">
        <f t="shared" si="118"/>
        <v>30267.552970204328</v>
      </c>
      <c r="Q191" s="193">
        <f t="shared" si="118"/>
        <v>11323.531924818044</v>
      </c>
      <c r="R191" s="197">
        <f t="shared" si="118"/>
        <v>8231.757638406445</v>
      </c>
      <c r="T191" s="193">
        <f t="shared" si="110"/>
        <v>16937.327256615921</v>
      </c>
      <c r="U191" s="193">
        <f t="shared" si="106"/>
        <v>17945.552970204328</v>
      </c>
      <c r="V191" s="197">
        <f t="shared" si="106"/>
        <v>-3811.468075181956</v>
      </c>
      <c r="W191" s="197">
        <f t="shared" si="106"/>
        <v>-2804.242361593555</v>
      </c>
      <c r="Y191" s="197">
        <f t="shared" si="111"/>
        <v>2793.3272566159212</v>
      </c>
      <c r="Z191" s="197">
        <f t="shared" si="107"/>
        <v>8719.5529702043277</v>
      </c>
      <c r="AA191" s="197">
        <f t="shared" si="107"/>
        <v>-16412.468075181954</v>
      </c>
      <c r="AB191" s="197">
        <f t="shared" si="107"/>
        <v>-10486.242361593555</v>
      </c>
      <c r="AC191" s="101"/>
      <c r="AD191" s="197">
        <f t="shared" si="112"/>
        <v>-425130.67274338409</v>
      </c>
      <c r="AE191" s="197">
        <f t="shared" si="108"/>
        <v>-292952.44702979567</v>
      </c>
      <c r="AF191" s="197">
        <f t="shared" si="108"/>
        <v>-404716.46807518194</v>
      </c>
      <c r="AG191" s="197">
        <f t="shared" si="108"/>
        <v>-272538.24236159353</v>
      </c>
    </row>
    <row r="192" spans="13:33" x14ac:dyDescent="0.3">
      <c r="M192" s="237"/>
      <c r="N192" s="207"/>
      <c r="O192" s="184">
        <f>O124*(O133+O137)</f>
        <v>2211.0214826699998</v>
      </c>
      <c r="P192" s="184">
        <f t="shared" ref="P192:R192" si="119">P124*(P133+P137)</f>
        <v>2011.9791314699999</v>
      </c>
      <c r="Q192" s="184">
        <f t="shared" si="119"/>
        <v>746.81399781999994</v>
      </c>
      <c r="R192" s="184">
        <f t="shared" si="119"/>
        <v>547.77164661999984</v>
      </c>
      <c r="T192" s="184">
        <f t="shared" si="110"/>
        <v>-14210.978517330001</v>
      </c>
      <c r="U192" s="184">
        <f t="shared" si="110"/>
        <v>-10310.02086853</v>
      </c>
      <c r="V192" s="184">
        <f t="shared" si="110"/>
        <v>-14388.18600218</v>
      </c>
      <c r="W192" s="184">
        <f t="shared" si="110"/>
        <v>-10488.22835338</v>
      </c>
      <c r="Y192" s="184">
        <f t="shared" si="111"/>
        <v>-28354.978517330001</v>
      </c>
      <c r="Z192" s="184">
        <f t="shared" si="111"/>
        <v>-19536.020868529999</v>
      </c>
      <c r="AA192" s="184">
        <f t="shared" si="111"/>
        <v>-26989.186002179998</v>
      </c>
      <c r="AB192" s="184">
        <f t="shared" si="111"/>
        <v>-18170.22835338</v>
      </c>
      <c r="AC192" s="101"/>
      <c r="AD192" s="184">
        <f t="shared" si="112"/>
        <v>-456278.97851733002</v>
      </c>
      <c r="AE192" s="184">
        <f t="shared" si="112"/>
        <v>-321208.02086852997</v>
      </c>
      <c r="AF192" s="184">
        <f t="shared" si="112"/>
        <v>-415293.18600217998</v>
      </c>
      <c r="AG192" s="184">
        <f t="shared" si="112"/>
        <v>-280222.22835337999</v>
      </c>
    </row>
    <row r="193" spans="13:33" ht="28.8" x14ac:dyDescent="0.3">
      <c r="M193" s="222" t="s">
        <v>923</v>
      </c>
      <c r="O193" s="184">
        <f t="shared" ref="O193:R195" si="120">O125*(O134+O138)</f>
        <v>2334.751737604</v>
      </c>
      <c r="P193" s="184">
        <f t="shared" si="120"/>
        <v>2120.9233831720003</v>
      </c>
      <c r="Q193" s="184">
        <f t="shared" si="120"/>
        <v>790.9011678039999</v>
      </c>
      <c r="R193" s="184">
        <f t="shared" si="120"/>
        <v>577.07281337199981</v>
      </c>
      <c r="T193" s="184">
        <f t="shared" si="110"/>
        <v>-14087.248262396</v>
      </c>
      <c r="U193" s="184">
        <f t="shared" si="110"/>
        <v>-10201.076616827999</v>
      </c>
      <c r="V193" s="184">
        <f t="shared" si="110"/>
        <v>-14344.098832195999</v>
      </c>
      <c r="W193" s="184">
        <f t="shared" si="110"/>
        <v>-10458.927186628</v>
      </c>
      <c r="Y193" s="184">
        <f t="shared" si="111"/>
        <v>-28231.248262395999</v>
      </c>
      <c r="Z193" s="184">
        <f t="shared" si="111"/>
        <v>-19427.076616827999</v>
      </c>
      <c r="AA193" s="184">
        <f t="shared" si="111"/>
        <v>-26945.098832195999</v>
      </c>
      <c r="AB193" s="184">
        <f t="shared" si="111"/>
        <v>-18140.927186628</v>
      </c>
      <c r="AC193" s="101"/>
      <c r="AD193" s="184">
        <f t="shared" si="112"/>
        <v>-456155.24826239602</v>
      </c>
      <c r="AE193" s="184">
        <f t="shared" si="112"/>
        <v>-321099.07661682798</v>
      </c>
      <c r="AF193" s="184">
        <f t="shared" si="112"/>
        <v>-415249.09883219597</v>
      </c>
      <c r="AG193" s="184">
        <f t="shared" si="112"/>
        <v>-280192.92718662799</v>
      </c>
    </row>
    <row r="194" spans="13:33" x14ac:dyDescent="0.3">
      <c r="M194" s="222"/>
      <c r="O194" s="184">
        <f t="shared" si="120"/>
        <v>2406.7056397040801</v>
      </c>
      <c r="P194" s="184">
        <f t="shared" si="120"/>
        <v>2184.2786557002401</v>
      </c>
      <c r="Q194" s="184">
        <f t="shared" si="120"/>
        <v>816.53955281007995</v>
      </c>
      <c r="R194" s="184">
        <f t="shared" si="120"/>
        <v>594.11256880624001</v>
      </c>
      <c r="T194" s="184">
        <f t="shared" ref="T194:W199" si="121">O194-T$147</f>
        <v>-14015.29436029592</v>
      </c>
      <c r="U194" s="184">
        <f t="shared" si="121"/>
        <v>-10137.72134429976</v>
      </c>
      <c r="V194" s="184">
        <f t="shared" si="121"/>
        <v>-14318.46044718992</v>
      </c>
      <c r="W194" s="184">
        <f t="shared" si="121"/>
        <v>-10441.88743119376</v>
      </c>
      <c r="Y194" s="184">
        <f t="shared" si="111"/>
        <v>-28159.29436029592</v>
      </c>
      <c r="Z194" s="184">
        <f t="shared" si="111"/>
        <v>-19363.72134429976</v>
      </c>
      <c r="AA194" s="184">
        <f t="shared" si="111"/>
        <v>-26919.460447189918</v>
      </c>
      <c r="AB194" s="184">
        <f t="shared" si="111"/>
        <v>-18123.887431193762</v>
      </c>
      <c r="AC194" s="101"/>
      <c r="AD194" s="184">
        <f t="shared" si="112"/>
        <v>-456083.29436029593</v>
      </c>
      <c r="AE194" s="184">
        <f t="shared" si="112"/>
        <v>-321035.72134429973</v>
      </c>
      <c r="AF194" s="184">
        <f t="shared" si="112"/>
        <v>-415223.46044718992</v>
      </c>
      <c r="AG194" s="184">
        <f t="shared" si="112"/>
        <v>-280175.88743119378</v>
      </c>
    </row>
    <row r="195" spans="13:33" x14ac:dyDescent="0.3">
      <c r="M195" s="111"/>
      <c r="N195" s="8"/>
      <c r="O195" s="197">
        <f t="shared" si="120"/>
        <v>2430.149667700497</v>
      </c>
      <c r="P195" s="197">
        <f t="shared" si="120"/>
        <v>2204.921077299653</v>
      </c>
      <c r="Q195" s="197">
        <f t="shared" si="120"/>
        <v>824.89305412581757</v>
      </c>
      <c r="R195" s="197">
        <f t="shared" si="120"/>
        <v>599.66446372497273</v>
      </c>
      <c r="T195" s="197">
        <f t="shared" si="121"/>
        <v>-13991.850332299502</v>
      </c>
      <c r="U195" s="197">
        <f t="shared" si="121"/>
        <v>-10117.078922700348</v>
      </c>
      <c r="V195" s="197">
        <f t="shared" si="121"/>
        <v>-14310.106945874182</v>
      </c>
      <c r="W195" s="197">
        <f t="shared" si="121"/>
        <v>-10436.335536275028</v>
      </c>
      <c r="Y195" s="197">
        <f t="shared" si="111"/>
        <v>-28135.850332299502</v>
      </c>
      <c r="Z195" s="197">
        <f t="shared" si="111"/>
        <v>-19343.078922700348</v>
      </c>
      <c r="AA195" s="197">
        <f t="shared" si="111"/>
        <v>-26911.106945874184</v>
      </c>
      <c r="AB195" s="197">
        <f t="shared" si="111"/>
        <v>-18118.335536275026</v>
      </c>
      <c r="AC195" s="101"/>
      <c r="AD195" s="197">
        <f t="shared" si="112"/>
        <v>-456059.85033229948</v>
      </c>
      <c r="AE195" s="197">
        <f t="shared" si="112"/>
        <v>-321015.07892270037</v>
      </c>
      <c r="AF195" s="197">
        <f t="shared" si="112"/>
        <v>-415215.10694587417</v>
      </c>
      <c r="AG195" s="197">
        <f t="shared" si="112"/>
        <v>-280170.335536275</v>
      </c>
    </row>
    <row r="196" spans="13:33" x14ac:dyDescent="0.3">
      <c r="M196" s="237"/>
      <c r="N196" s="207"/>
      <c r="O196" s="184">
        <f>O128*(O133+O137)</f>
        <v>301.50292945500007</v>
      </c>
      <c r="P196" s="184">
        <f t="shared" ref="P196:R196" si="122">P128*(P133+P137)</f>
        <v>274.36079065500002</v>
      </c>
      <c r="Q196" s="184">
        <f t="shared" si="122"/>
        <v>101.83827243000002</v>
      </c>
      <c r="R196" s="184">
        <f t="shared" si="122"/>
        <v>74.696133629999991</v>
      </c>
      <c r="T196" s="184">
        <f t="shared" si="121"/>
        <v>-16120.497070545</v>
      </c>
      <c r="U196" s="184">
        <f t="shared" si="121"/>
        <v>-12047.639209344999</v>
      </c>
      <c r="V196" s="184">
        <f t="shared" si="121"/>
        <v>-15033.161727569999</v>
      </c>
      <c r="W196" s="184">
        <f t="shared" si="121"/>
        <v>-10961.303866370001</v>
      </c>
      <c r="Y196" s="184">
        <f t="shared" si="111"/>
        <v>-30264.497070545</v>
      </c>
      <c r="Z196" s="184">
        <f t="shared" si="111"/>
        <v>-21273.639209345001</v>
      </c>
      <c r="AA196" s="184">
        <f t="shared" si="111"/>
        <v>-27634.161727570001</v>
      </c>
      <c r="AB196" s="184">
        <f t="shared" si="111"/>
        <v>-18643.303866369999</v>
      </c>
      <c r="AC196" s="101"/>
      <c r="AD196" s="184">
        <f t="shared" si="112"/>
        <v>-458188.49707054498</v>
      </c>
      <c r="AE196" s="184">
        <f t="shared" si="112"/>
        <v>-322945.63920934498</v>
      </c>
      <c r="AF196" s="184">
        <f t="shared" si="112"/>
        <v>-415938.16172757</v>
      </c>
      <c r="AG196" s="184">
        <f t="shared" si="112"/>
        <v>-280695.30386637</v>
      </c>
    </row>
    <row r="197" spans="13:33" x14ac:dyDescent="0.3">
      <c r="M197" s="222" t="s">
        <v>827</v>
      </c>
      <c r="O197" s="184">
        <f t="shared" ref="O197:R199" si="123">O129*(O134+O138)</f>
        <v>318.37523694599997</v>
      </c>
      <c r="P197" s="184">
        <f t="shared" si="123"/>
        <v>289.21682497799998</v>
      </c>
      <c r="Q197" s="184">
        <f t="shared" si="123"/>
        <v>107.850159246</v>
      </c>
      <c r="R197" s="184">
        <f t="shared" si="123"/>
        <v>78.691747277999994</v>
      </c>
      <c r="T197" s="184">
        <f t="shared" si="121"/>
        <v>-16103.624763054</v>
      </c>
      <c r="U197" s="184">
        <f t="shared" si="121"/>
        <v>-12032.783175021999</v>
      </c>
      <c r="V197" s="184">
        <f t="shared" si="121"/>
        <v>-15027.149840754</v>
      </c>
      <c r="W197" s="184">
        <f t="shared" si="121"/>
        <v>-10957.308252721999</v>
      </c>
      <c r="Y197" s="184">
        <f t="shared" si="111"/>
        <v>-30247.624763053998</v>
      </c>
      <c r="Z197" s="184">
        <f t="shared" si="111"/>
        <v>-21258.783175021999</v>
      </c>
      <c r="AA197" s="184">
        <f t="shared" si="111"/>
        <v>-27628.149840753998</v>
      </c>
      <c r="AB197" s="184">
        <f t="shared" si="111"/>
        <v>-18639.308252721999</v>
      </c>
      <c r="AC197" s="101"/>
      <c r="AD197" s="184">
        <f t="shared" si="112"/>
        <v>-458171.62476305402</v>
      </c>
      <c r="AE197" s="184">
        <f t="shared" si="112"/>
        <v>-322930.78317502199</v>
      </c>
      <c r="AF197" s="184">
        <f t="shared" si="112"/>
        <v>-415932.14984075399</v>
      </c>
      <c r="AG197" s="184">
        <f t="shared" si="112"/>
        <v>-280691.30825272202</v>
      </c>
    </row>
    <row r="198" spans="13:33" x14ac:dyDescent="0.3">
      <c r="M198" s="221" t="s">
        <v>925</v>
      </c>
      <c r="O198" s="184">
        <f t="shared" si="123"/>
        <v>328.18713268692005</v>
      </c>
      <c r="P198" s="184">
        <f t="shared" si="123"/>
        <v>297.85618032276</v>
      </c>
      <c r="Q198" s="184">
        <f t="shared" si="123"/>
        <v>111.34630265592</v>
      </c>
      <c r="R198" s="184">
        <f t="shared" si="123"/>
        <v>81.015350291760001</v>
      </c>
      <c r="T198" s="184">
        <f t="shared" si="121"/>
        <v>-16093.81286731308</v>
      </c>
      <c r="U198" s="184">
        <f t="shared" si="121"/>
        <v>-12024.14381967724</v>
      </c>
      <c r="V198" s="184">
        <f t="shared" si="121"/>
        <v>-15023.65369734408</v>
      </c>
      <c r="W198" s="184">
        <f t="shared" si="121"/>
        <v>-10954.98464970824</v>
      </c>
      <c r="Y198" s="184">
        <f t="shared" si="111"/>
        <v>-30237.812867313081</v>
      </c>
      <c r="Z198" s="184">
        <f t="shared" si="111"/>
        <v>-21250.14381967724</v>
      </c>
      <c r="AA198" s="184">
        <f t="shared" si="111"/>
        <v>-27624.653697344082</v>
      </c>
      <c r="AB198" s="184">
        <f t="shared" si="111"/>
        <v>-18636.98464970824</v>
      </c>
      <c r="AC198" s="101"/>
      <c r="AD198" s="184">
        <f t="shared" si="112"/>
        <v>-458161.8128673131</v>
      </c>
      <c r="AE198" s="184">
        <f t="shared" si="112"/>
        <v>-322922.14381967724</v>
      </c>
      <c r="AF198" s="184">
        <f t="shared" si="112"/>
        <v>-415928.65369734407</v>
      </c>
      <c r="AG198" s="184">
        <f t="shared" si="112"/>
        <v>-280688.98464970826</v>
      </c>
    </row>
    <row r="199" spans="13:33" x14ac:dyDescent="0.3">
      <c r="M199" s="8"/>
      <c r="N199" s="8"/>
      <c r="O199" s="197">
        <f t="shared" si="123"/>
        <v>331.38404559552242</v>
      </c>
      <c r="P199" s="197">
        <f t="shared" si="123"/>
        <v>300.67105599540719</v>
      </c>
      <c r="Q199" s="197">
        <f t="shared" si="123"/>
        <v>112.48541647170242</v>
      </c>
      <c r="R199" s="197">
        <f t="shared" si="123"/>
        <v>81.7724268715872</v>
      </c>
      <c r="T199" s="184">
        <f t="shared" si="121"/>
        <v>-16090.615954404477</v>
      </c>
      <c r="U199" s="184">
        <f t="shared" si="121"/>
        <v>-12021.328944004592</v>
      </c>
      <c r="V199" s="184">
        <f t="shared" si="121"/>
        <v>-15022.514583528298</v>
      </c>
      <c r="W199" s="184">
        <f t="shared" si="121"/>
        <v>-10954.227573128413</v>
      </c>
      <c r="Y199" s="184">
        <f t="shared" si="111"/>
        <v>-30234.615954404479</v>
      </c>
      <c r="Z199" s="184">
        <f t="shared" si="111"/>
        <v>-21247.328944004592</v>
      </c>
      <c r="AA199" s="184">
        <f t="shared" si="111"/>
        <v>-27623.514583528296</v>
      </c>
      <c r="AB199" s="184">
        <f t="shared" si="111"/>
        <v>-18636.227573128413</v>
      </c>
      <c r="AC199" s="101"/>
      <c r="AD199" s="184">
        <f t="shared" si="112"/>
        <v>-458158.61595440446</v>
      </c>
      <c r="AE199" s="184">
        <f t="shared" si="112"/>
        <v>-322919.32894400461</v>
      </c>
      <c r="AF199" s="184">
        <f t="shared" si="112"/>
        <v>-415927.51458352827</v>
      </c>
      <c r="AG199" s="184">
        <f t="shared" si="112"/>
        <v>-280688.22757312842</v>
      </c>
    </row>
    <row r="200" spans="13:33" x14ac:dyDescent="0.3">
      <c r="O200" s="198"/>
    </row>
    <row r="201" spans="13:33" x14ac:dyDescent="0.3">
      <c r="O201" s="198"/>
    </row>
    <row r="202" spans="13:33" x14ac:dyDescent="0.3">
      <c r="N202" s="1" t="s">
        <v>860</v>
      </c>
      <c r="T202" s="221" t="s">
        <v>969</v>
      </c>
      <c r="Y202" s="221" t="s">
        <v>968</v>
      </c>
      <c r="AD202" s="221" t="s">
        <v>970</v>
      </c>
    </row>
    <row r="203" spans="13:33" x14ac:dyDescent="0.3">
      <c r="M203" s="176" t="s">
        <v>823</v>
      </c>
      <c r="N203" s="8"/>
      <c r="O203" s="188" t="s">
        <v>828</v>
      </c>
      <c r="P203" s="188" t="s">
        <v>829</v>
      </c>
      <c r="Q203" s="188" t="s">
        <v>830</v>
      </c>
      <c r="R203" s="188" t="s">
        <v>831</v>
      </c>
      <c r="T203" s="170">
        <f>11789+4633</f>
        <v>16422</v>
      </c>
      <c r="U203" s="170">
        <f>7689+4633</f>
        <v>12322</v>
      </c>
      <c r="V203" s="170">
        <f>10502+4633</f>
        <v>15135</v>
      </c>
      <c r="W203" s="170">
        <f>6403+4633</f>
        <v>11036</v>
      </c>
      <c r="X203" s="8"/>
      <c r="Y203" s="170">
        <f>25933+4633</f>
        <v>30566</v>
      </c>
      <c r="Z203" s="170">
        <f>16915+4633</f>
        <v>21548</v>
      </c>
      <c r="AA203" s="170">
        <f>23103+4633</f>
        <v>27736</v>
      </c>
      <c r="AB203" s="170">
        <f>14085+4633</f>
        <v>18718</v>
      </c>
      <c r="AC203" s="8"/>
      <c r="AD203" s="170">
        <f>Y203*15</f>
        <v>458490</v>
      </c>
      <c r="AE203" s="170">
        <f>Z203*15</f>
        <v>323220</v>
      </c>
      <c r="AF203" s="170">
        <f>AA203*15</f>
        <v>416040</v>
      </c>
      <c r="AG203" s="170">
        <f>AB203*15</f>
        <v>280770</v>
      </c>
    </row>
    <row r="204" spans="13:33" x14ac:dyDescent="0.3">
      <c r="M204" s="225"/>
      <c r="N204" s="207"/>
      <c r="O204" s="182">
        <f>O74*O133</f>
        <v>83002381.195000008</v>
      </c>
      <c r="P204" s="182">
        <f t="shared" ref="P204:R204" si="124">P74*P133</f>
        <v>73955001.594999999</v>
      </c>
      <c r="Q204" s="182">
        <f t="shared" si="124"/>
        <v>16447495.519999998</v>
      </c>
      <c r="R204" s="182">
        <f t="shared" si="124"/>
        <v>7400115.9200000009</v>
      </c>
      <c r="T204" s="182">
        <f>O204-T$147</f>
        <v>82985959.195000008</v>
      </c>
      <c r="U204" s="182">
        <f t="shared" ref="U204:W219" si="125">P204-U$147</f>
        <v>73942679.594999999</v>
      </c>
      <c r="V204" s="182">
        <f t="shared" si="125"/>
        <v>16432360.519999998</v>
      </c>
      <c r="W204" s="182">
        <f t="shared" si="125"/>
        <v>7389079.9200000009</v>
      </c>
      <c r="X204" s="207"/>
      <c r="Y204" s="182">
        <f>O204-Y$203</f>
        <v>82971815.195000008</v>
      </c>
      <c r="Z204" s="182">
        <f t="shared" ref="Z204:AB219" si="126">P204-Z$203</f>
        <v>73933453.594999999</v>
      </c>
      <c r="AA204" s="182">
        <f t="shared" si="126"/>
        <v>16419759.519999998</v>
      </c>
      <c r="AB204" s="182">
        <f t="shared" si="126"/>
        <v>7381397.9200000009</v>
      </c>
      <c r="AC204" s="207"/>
      <c r="AD204" s="182">
        <f>O204-AD$203</f>
        <v>82543891.195000008</v>
      </c>
      <c r="AE204" s="182">
        <f t="shared" ref="AE204:AG219" si="127">P204-AE$203</f>
        <v>73631781.594999999</v>
      </c>
      <c r="AF204" s="182">
        <f t="shared" si="127"/>
        <v>16031455.519999998</v>
      </c>
      <c r="AG204" s="182">
        <f t="shared" si="127"/>
        <v>7119345.9200000009</v>
      </c>
    </row>
    <row r="205" spans="13:33" x14ac:dyDescent="0.3">
      <c r="M205" s="222" t="s">
        <v>826</v>
      </c>
      <c r="O205" s="182">
        <f t="shared" ref="O205:R207" si="128">O75*O134</f>
        <v>87697201.25999999</v>
      </c>
      <c r="P205" s="182">
        <f t="shared" si="128"/>
        <v>77977730.604000002</v>
      </c>
      <c r="Q205" s="182">
        <f t="shared" si="128"/>
        <v>17522175.359999996</v>
      </c>
      <c r="R205" s="182">
        <f t="shared" si="128"/>
        <v>7802704.7039999999</v>
      </c>
      <c r="T205" s="182">
        <f>O205-T$147</f>
        <v>87680779.25999999</v>
      </c>
      <c r="U205" s="182">
        <f t="shared" si="125"/>
        <v>77965408.604000002</v>
      </c>
      <c r="V205" s="182">
        <f t="shared" si="125"/>
        <v>17507040.359999996</v>
      </c>
      <c r="W205" s="182">
        <f t="shared" si="125"/>
        <v>7791668.7039999999</v>
      </c>
      <c r="Y205" s="182">
        <f>O205-Y$203</f>
        <v>87666635.25999999</v>
      </c>
      <c r="Z205" s="182">
        <f t="shared" si="126"/>
        <v>77956182.604000002</v>
      </c>
      <c r="AA205" s="182">
        <f t="shared" si="126"/>
        <v>17494439.359999996</v>
      </c>
      <c r="AB205" s="182">
        <f t="shared" si="126"/>
        <v>7783986.7039999999</v>
      </c>
      <c r="AC205" s="101"/>
      <c r="AD205" s="182">
        <f>O205-AD$203</f>
        <v>87238711.25999999</v>
      </c>
      <c r="AE205" s="182">
        <f t="shared" si="127"/>
        <v>77654510.604000002</v>
      </c>
      <c r="AF205" s="182">
        <f t="shared" si="127"/>
        <v>17106135.359999996</v>
      </c>
      <c r="AG205" s="182">
        <f t="shared" si="127"/>
        <v>7521934.7039999999</v>
      </c>
    </row>
    <row r="206" spans="13:33" x14ac:dyDescent="0.3">
      <c r="M206" s="222" t="s">
        <v>924</v>
      </c>
      <c r="O206" s="182">
        <f t="shared" si="128"/>
        <v>90427419.697799996</v>
      </c>
      <c r="P206" s="182">
        <f t="shared" si="128"/>
        <v>80317102.24307999</v>
      </c>
      <c r="Q206" s="182">
        <f t="shared" si="128"/>
        <v>18147143.020799998</v>
      </c>
      <c r="R206" s="182">
        <f t="shared" si="128"/>
        <v>8036825.5660800021</v>
      </c>
      <c r="T206" s="182">
        <f t="shared" ref="T206:W227" si="129">O206-T$147</f>
        <v>90410997.697799996</v>
      </c>
      <c r="U206" s="182">
        <f t="shared" si="125"/>
        <v>80304780.24307999</v>
      </c>
      <c r="V206" s="182">
        <f t="shared" si="125"/>
        <v>18132008.020799998</v>
      </c>
      <c r="W206" s="182">
        <f t="shared" si="125"/>
        <v>8025789.5660800021</v>
      </c>
      <c r="Y206" s="182">
        <f t="shared" ref="Y206:AB227" si="130">O206-Y$203</f>
        <v>90396853.697799996</v>
      </c>
      <c r="Z206" s="182">
        <f t="shared" si="126"/>
        <v>80295554.24307999</v>
      </c>
      <c r="AA206" s="182">
        <f t="shared" si="126"/>
        <v>18119407.020799998</v>
      </c>
      <c r="AB206" s="182">
        <f t="shared" si="126"/>
        <v>8018107.5660800021</v>
      </c>
      <c r="AC206" s="101"/>
      <c r="AD206" s="182">
        <f t="shared" ref="AD206:AG227" si="131">O206-AD$203</f>
        <v>89968929.697799996</v>
      </c>
      <c r="AE206" s="182">
        <f t="shared" si="127"/>
        <v>79993882.24307999</v>
      </c>
      <c r="AF206" s="182">
        <f t="shared" si="127"/>
        <v>17731103.020799998</v>
      </c>
      <c r="AG206" s="182">
        <f t="shared" si="127"/>
        <v>7756055.5660800021</v>
      </c>
    </row>
    <row r="207" spans="13:33" x14ac:dyDescent="0.3">
      <c r="M207" s="111"/>
      <c r="N207" s="8"/>
      <c r="O207" s="194">
        <f t="shared" si="128"/>
        <v>91316979.758115992</v>
      </c>
      <c r="P207" s="194">
        <f t="shared" si="128"/>
        <v>81079316.558077589</v>
      </c>
      <c r="Q207" s="194">
        <f t="shared" si="128"/>
        <v>18350770.050175995</v>
      </c>
      <c r="R207" s="194">
        <f t="shared" si="128"/>
        <v>8113106.8501375969</v>
      </c>
      <c r="T207" s="194">
        <f t="shared" si="129"/>
        <v>91300557.758115992</v>
      </c>
      <c r="U207" s="194">
        <f t="shared" si="125"/>
        <v>81066994.558077589</v>
      </c>
      <c r="V207" s="194">
        <f t="shared" si="125"/>
        <v>18335635.050175995</v>
      </c>
      <c r="W207" s="194">
        <f t="shared" si="125"/>
        <v>8102070.8501375969</v>
      </c>
      <c r="Y207" s="194">
        <f t="shared" si="130"/>
        <v>91286413.758115992</v>
      </c>
      <c r="Z207" s="194">
        <f t="shared" si="126"/>
        <v>81057768.558077589</v>
      </c>
      <c r="AA207" s="194">
        <f t="shared" si="126"/>
        <v>18323034.050175995</v>
      </c>
      <c r="AB207" s="194">
        <f t="shared" si="126"/>
        <v>8094388.8501375969</v>
      </c>
      <c r="AC207" s="101"/>
      <c r="AD207" s="194">
        <f t="shared" si="131"/>
        <v>90858489.758115992</v>
      </c>
      <c r="AE207" s="194">
        <f t="shared" si="127"/>
        <v>80756096.558077589</v>
      </c>
      <c r="AF207" s="194">
        <f t="shared" si="127"/>
        <v>17934730.050175995</v>
      </c>
      <c r="AG207" s="194">
        <f t="shared" si="127"/>
        <v>7832336.8501375969</v>
      </c>
    </row>
    <row r="208" spans="13:33" x14ac:dyDescent="0.3">
      <c r="M208" s="237"/>
      <c r="N208" s="207"/>
      <c r="O208" s="182">
        <f>O78*O133</f>
        <v>38281694.235708348</v>
      </c>
      <c r="P208" s="182">
        <f t="shared" ref="P208:R208" si="132">P78*P133</f>
        <v>34108934.195633136</v>
      </c>
      <c r="Q208" s="182">
        <f t="shared" si="132"/>
        <v>7585782.3037702395</v>
      </c>
      <c r="R208" s="182">
        <f t="shared" si="132"/>
        <v>3413022.2636950398</v>
      </c>
      <c r="T208" s="182">
        <f t="shared" si="129"/>
        <v>38265272.235708348</v>
      </c>
      <c r="U208" s="182">
        <f t="shared" si="125"/>
        <v>34096612.195633136</v>
      </c>
      <c r="V208" s="182">
        <f t="shared" si="125"/>
        <v>7570647.3037702395</v>
      </c>
      <c r="W208" s="182">
        <f t="shared" si="125"/>
        <v>3401986.2636950398</v>
      </c>
      <c r="Y208" s="182">
        <f t="shared" si="130"/>
        <v>38251128.235708348</v>
      </c>
      <c r="Z208" s="182">
        <f t="shared" si="126"/>
        <v>34087386.195633136</v>
      </c>
      <c r="AA208" s="182">
        <f t="shared" si="126"/>
        <v>7558046.3037702395</v>
      </c>
      <c r="AB208" s="182">
        <f t="shared" si="126"/>
        <v>3394304.2636950398</v>
      </c>
      <c r="AC208" s="101"/>
      <c r="AD208" s="182">
        <f t="shared" si="131"/>
        <v>37823204.235708348</v>
      </c>
      <c r="AE208" s="182">
        <f t="shared" si="127"/>
        <v>33785714.195633136</v>
      </c>
      <c r="AF208" s="182">
        <f t="shared" si="127"/>
        <v>7169742.3037702395</v>
      </c>
      <c r="AG208" s="182">
        <f t="shared" si="127"/>
        <v>3132252.2636950398</v>
      </c>
    </row>
    <row r="209" spans="13:33" ht="28.8" x14ac:dyDescent="0.3">
      <c r="M209" s="222" t="s">
        <v>926</v>
      </c>
      <c r="O209" s="182">
        <f t="shared" ref="O209:R211" si="133">O79*O134</f>
        <v>40447001.587527119</v>
      </c>
      <c r="P209" s="182">
        <f t="shared" si="133"/>
        <v>35964265.087332048</v>
      </c>
      <c r="Q209" s="182">
        <f t="shared" si="133"/>
        <v>8081437.5421363181</v>
      </c>
      <c r="R209" s="182">
        <f t="shared" si="133"/>
        <v>3598701.0419412469</v>
      </c>
      <c r="T209" s="182">
        <f t="shared" si="129"/>
        <v>40430579.587527119</v>
      </c>
      <c r="U209" s="182">
        <f t="shared" si="125"/>
        <v>35951943.087332048</v>
      </c>
      <c r="V209" s="182">
        <f t="shared" si="125"/>
        <v>8066302.5421363181</v>
      </c>
      <c r="W209" s="182">
        <f t="shared" si="125"/>
        <v>3587665.0419412469</v>
      </c>
      <c r="Y209" s="182">
        <f t="shared" si="130"/>
        <v>40416435.587527119</v>
      </c>
      <c r="Z209" s="182">
        <f t="shared" si="126"/>
        <v>35942717.087332048</v>
      </c>
      <c r="AA209" s="182">
        <f t="shared" si="126"/>
        <v>8053701.5421363181</v>
      </c>
      <c r="AB209" s="182">
        <f t="shared" si="126"/>
        <v>3579983.0419412469</v>
      </c>
      <c r="AC209" s="101"/>
      <c r="AD209" s="182">
        <f t="shared" si="131"/>
        <v>39988511.587527119</v>
      </c>
      <c r="AE209" s="182">
        <f t="shared" si="127"/>
        <v>35641045.087332048</v>
      </c>
      <c r="AF209" s="182">
        <f t="shared" si="127"/>
        <v>7665397.5421363181</v>
      </c>
      <c r="AG209" s="182">
        <f t="shared" si="127"/>
        <v>3317931.0419412469</v>
      </c>
    </row>
    <row r="210" spans="13:33" x14ac:dyDescent="0.3">
      <c r="M210" s="222"/>
      <c r="O210" s="182">
        <f t="shared" si="133"/>
        <v>41706211.09366174</v>
      </c>
      <c r="P210" s="182">
        <f t="shared" si="133"/>
        <v>37043211.359735414</v>
      </c>
      <c r="Q210" s="182">
        <f t="shared" si="133"/>
        <v>8369680.1269092094</v>
      </c>
      <c r="R210" s="182">
        <f t="shared" si="133"/>
        <v>3706680.392982889</v>
      </c>
      <c r="T210" s="182">
        <f t="shared" si="129"/>
        <v>41689789.09366174</v>
      </c>
      <c r="U210" s="182">
        <f t="shared" si="125"/>
        <v>37030889.359735414</v>
      </c>
      <c r="V210" s="182">
        <f t="shared" si="125"/>
        <v>8354545.1269092094</v>
      </c>
      <c r="W210" s="182">
        <f t="shared" si="125"/>
        <v>3695644.392982889</v>
      </c>
      <c r="Y210" s="182">
        <f t="shared" si="130"/>
        <v>41675645.09366174</v>
      </c>
      <c r="Z210" s="182">
        <f t="shared" si="126"/>
        <v>37021663.359735414</v>
      </c>
      <c r="AA210" s="182">
        <f t="shared" si="126"/>
        <v>8341944.1269092094</v>
      </c>
      <c r="AB210" s="182">
        <f t="shared" si="126"/>
        <v>3687962.392982889</v>
      </c>
      <c r="AC210" s="101"/>
      <c r="AD210" s="182">
        <f t="shared" si="131"/>
        <v>41247721.09366174</v>
      </c>
      <c r="AE210" s="182">
        <f t="shared" si="127"/>
        <v>36719991.359735414</v>
      </c>
      <c r="AF210" s="182">
        <f t="shared" si="127"/>
        <v>7953640.1269092094</v>
      </c>
      <c r="AG210" s="182">
        <f t="shared" si="127"/>
        <v>3425910.392982889</v>
      </c>
    </row>
    <row r="211" spans="13:33" x14ac:dyDescent="0.3">
      <c r="M211" s="111"/>
      <c r="N211" s="8"/>
      <c r="O211" s="194">
        <f t="shared" si="133"/>
        <v>42116486.868200198</v>
      </c>
      <c r="P211" s="194">
        <f t="shared" si="133"/>
        <v>37394753.748384088</v>
      </c>
      <c r="Q211" s="194">
        <f t="shared" si="133"/>
        <v>8463595.3563817721</v>
      </c>
      <c r="R211" s="194">
        <f t="shared" si="133"/>
        <v>3741862.2365656616</v>
      </c>
      <c r="T211" s="194">
        <f t="shared" si="129"/>
        <v>42100064.868200198</v>
      </c>
      <c r="U211" s="194">
        <f t="shared" si="125"/>
        <v>37382431.748384088</v>
      </c>
      <c r="V211" s="194">
        <f t="shared" si="125"/>
        <v>8448460.3563817721</v>
      </c>
      <c r="W211" s="194">
        <f t="shared" si="125"/>
        <v>3730826.2365656616</v>
      </c>
      <c r="Y211" s="194">
        <f t="shared" si="130"/>
        <v>42085920.868200198</v>
      </c>
      <c r="Z211" s="194">
        <f t="shared" si="126"/>
        <v>37373205.748384088</v>
      </c>
      <c r="AA211" s="194">
        <f t="shared" si="126"/>
        <v>8435859.3563817721</v>
      </c>
      <c r="AB211" s="194">
        <f t="shared" si="126"/>
        <v>3723144.2365656616</v>
      </c>
      <c r="AC211" s="101"/>
      <c r="AD211" s="194">
        <f t="shared" si="131"/>
        <v>41657996.868200198</v>
      </c>
      <c r="AE211" s="194">
        <f t="shared" si="127"/>
        <v>37071533.748384088</v>
      </c>
      <c r="AF211" s="194">
        <f t="shared" si="127"/>
        <v>8047555.3563817721</v>
      </c>
      <c r="AG211" s="194">
        <f t="shared" si="127"/>
        <v>3461092.2365656616</v>
      </c>
    </row>
    <row r="212" spans="13:33" x14ac:dyDescent="0.3">
      <c r="M212" s="237"/>
      <c r="N212" s="207"/>
      <c r="O212" s="195">
        <f>O82*O133</f>
        <v>871940.01445347513</v>
      </c>
      <c r="P212" s="195">
        <f t="shared" ref="P212:R212" si="134">P82*P133</f>
        <v>776897.29175547487</v>
      </c>
      <c r="Q212" s="195">
        <f t="shared" si="134"/>
        <v>172780.94043760002</v>
      </c>
      <c r="R212" s="183">
        <f t="shared" si="134"/>
        <v>77738.217739600004</v>
      </c>
      <c r="T212" s="195">
        <f t="shared" si="129"/>
        <v>855518.01445347513</v>
      </c>
      <c r="U212" s="195">
        <f t="shared" si="125"/>
        <v>764575.29175547487</v>
      </c>
      <c r="V212" s="195">
        <f t="shared" si="125"/>
        <v>157645.94043760002</v>
      </c>
      <c r="W212" s="183">
        <f t="shared" si="125"/>
        <v>66702.217739600004</v>
      </c>
      <c r="Y212" s="195">
        <f t="shared" si="130"/>
        <v>841374.01445347513</v>
      </c>
      <c r="Z212" s="195">
        <f t="shared" si="126"/>
        <v>755349.29175547487</v>
      </c>
      <c r="AA212" s="195">
        <f t="shared" si="126"/>
        <v>145044.94043760002</v>
      </c>
      <c r="AB212" s="183">
        <f t="shared" si="126"/>
        <v>59020.217739600004</v>
      </c>
      <c r="AC212" s="101"/>
      <c r="AD212" s="195">
        <f t="shared" si="131"/>
        <v>413450.01445347513</v>
      </c>
      <c r="AE212" s="195">
        <f t="shared" si="127"/>
        <v>453677.29175547487</v>
      </c>
      <c r="AF212" s="184">
        <f t="shared" si="127"/>
        <v>-243259.05956239998</v>
      </c>
      <c r="AG212" s="184">
        <f t="shared" si="127"/>
        <v>-203031.78226040001</v>
      </c>
    </row>
    <row r="213" spans="13:33" ht="28.8" x14ac:dyDescent="0.3">
      <c r="M213" s="222" t="s">
        <v>927</v>
      </c>
      <c r="O213" s="195">
        <f t="shared" ref="O213:R215" si="135">O83*O134</f>
        <v>921259.09923629987</v>
      </c>
      <c r="P213" s="195">
        <f t="shared" si="135"/>
        <v>819156.05999502004</v>
      </c>
      <c r="Q213" s="195">
        <f t="shared" si="135"/>
        <v>184070.45215679999</v>
      </c>
      <c r="R213" s="183">
        <f t="shared" si="135"/>
        <v>81967.412915520006</v>
      </c>
      <c r="T213" s="195">
        <f t="shared" si="129"/>
        <v>904837.09923629987</v>
      </c>
      <c r="U213" s="195">
        <f t="shared" si="125"/>
        <v>806834.05999502004</v>
      </c>
      <c r="V213" s="195">
        <f t="shared" si="125"/>
        <v>168935.45215679999</v>
      </c>
      <c r="W213" s="183">
        <f t="shared" si="125"/>
        <v>70931.412915520006</v>
      </c>
      <c r="Y213" s="195">
        <f t="shared" si="130"/>
        <v>890693.09923629987</v>
      </c>
      <c r="Z213" s="195">
        <f t="shared" si="126"/>
        <v>797608.05999502004</v>
      </c>
      <c r="AA213" s="195">
        <f t="shared" si="126"/>
        <v>156334.45215679999</v>
      </c>
      <c r="AB213" s="183">
        <f t="shared" si="126"/>
        <v>63249.412915520006</v>
      </c>
      <c r="AC213" s="101"/>
      <c r="AD213" s="195">
        <f t="shared" si="131"/>
        <v>462769.09923629987</v>
      </c>
      <c r="AE213" s="195">
        <f t="shared" si="127"/>
        <v>495936.05999502004</v>
      </c>
      <c r="AF213" s="184">
        <f t="shared" si="127"/>
        <v>-231969.54784320001</v>
      </c>
      <c r="AG213" s="184">
        <f t="shared" si="127"/>
        <v>-198802.58708447998</v>
      </c>
    </row>
    <row r="214" spans="13:33" x14ac:dyDescent="0.3">
      <c r="M214" s="222"/>
      <c r="O214" s="195">
        <f t="shared" si="135"/>
        <v>949940.04392538907</v>
      </c>
      <c r="P214" s="195">
        <f t="shared" si="135"/>
        <v>843731.1590635553</v>
      </c>
      <c r="Q214" s="195">
        <f t="shared" si="135"/>
        <v>190635.73743350399</v>
      </c>
      <c r="R214" s="183">
        <f t="shared" si="135"/>
        <v>84426.852571670417</v>
      </c>
      <c r="T214" s="195">
        <f t="shared" si="129"/>
        <v>933518.04392538907</v>
      </c>
      <c r="U214" s="195">
        <f t="shared" si="125"/>
        <v>831409.1590635553</v>
      </c>
      <c r="V214" s="195">
        <f t="shared" si="125"/>
        <v>175500.73743350399</v>
      </c>
      <c r="W214" s="183">
        <f t="shared" si="125"/>
        <v>73390.852571670417</v>
      </c>
      <c r="Y214" s="195">
        <f t="shared" si="130"/>
        <v>919374.04392538907</v>
      </c>
      <c r="Z214" s="195">
        <f t="shared" si="126"/>
        <v>822183.1590635553</v>
      </c>
      <c r="AA214" s="195">
        <f t="shared" si="126"/>
        <v>162899.73743350399</v>
      </c>
      <c r="AB214" s="183">
        <f t="shared" si="126"/>
        <v>65708.852571670417</v>
      </c>
      <c r="AC214" s="101"/>
      <c r="AD214" s="195">
        <f t="shared" si="131"/>
        <v>491450.04392538907</v>
      </c>
      <c r="AE214" s="195">
        <f t="shared" si="127"/>
        <v>520511.1590635553</v>
      </c>
      <c r="AF214" s="184">
        <f t="shared" si="127"/>
        <v>-225404.26256649601</v>
      </c>
      <c r="AG214" s="184">
        <f t="shared" si="127"/>
        <v>-196343.14742832957</v>
      </c>
    </row>
    <row r="215" spans="13:33" x14ac:dyDescent="0.3">
      <c r="M215" s="111"/>
      <c r="N215" s="8"/>
      <c r="O215" s="196">
        <f t="shared" si="135"/>
        <v>959284.87235900853</v>
      </c>
      <c r="P215" s="196">
        <f t="shared" si="135"/>
        <v>851738.2204426052</v>
      </c>
      <c r="Q215" s="196">
        <f t="shared" si="135"/>
        <v>192774.83937709886</v>
      </c>
      <c r="R215" s="193">
        <f t="shared" si="135"/>
        <v>85228.187460695466</v>
      </c>
      <c r="T215" s="196">
        <f t="shared" si="129"/>
        <v>942862.87235900853</v>
      </c>
      <c r="U215" s="196">
        <f t="shared" si="125"/>
        <v>839416.2204426052</v>
      </c>
      <c r="V215" s="196">
        <f t="shared" si="125"/>
        <v>177639.83937709886</v>
      </c>
      <c r="W215" s="193">
        <f t="shared" si="125"/>
        <v>74192.187460695466</v>
      </c>
      <c r="Y215" s="196">
        <f t="shared" si="130"/>
        <v>928718.87235900853</v>
      </c>
      <c r="Z215" s="196">
        <f t="shared" si="126"/>
        <v>830190.2204426052</v>
      </c>
      <c r="AA215" s="196">
        <f t="shared" si="126"/>
        <v>165038.83937709886</v>
      </c>
      <c r="AB215" s="193">
        <f t="shared" si="126"/>
        <v>66510.187460695466</v>
      </c>
      <c r="AC215" s="101"/>
      <c r="AD215" s="196">
        <f t="shared" si="131"/>
        <v>500794.87235900853</v>
      </c>
      <c r="AE215" s="196">
        <f t="shared" si="127"/>
        <v>528518.2204426052</v>
      </c>
      <c r="AF215" s="197">
        <f t="shared" si="127"/>
        <v>-223265.16062290114</v>
      </c>
      <c r="AG215" s="197">
        <f t="shared" si="127"/>
        <v>-195541.81253930455</v>
      </c>
    </row>
    <row r="216" spans="13:33" x14ac:dyDescent="0.3">
      <c r="M216" s="237"/>
      <c r="N216" s="207"/>
      <c r="O216" s="195">
        <f>O86*O133</f>
        <v>286026.20559797005</v>
      </c>
      <c r="P216" s="195">
        <f t="shared" ref="P216:R216" si="136">P86*P133</f>
        <v>254848.93549637005</v>
      </c>
      <c r="Q216" s="183">
        <f t="shared" si="136"/>
        <v>56678.069561919991</v>
      </c>
      <c r="R216" s="183">
        <f t="shared" si="136"/>
        <v>25500.799460319995</v>
      </c>
      <c r="T216" s="195">
        <f t="shared" si="129"/>
        <v>269604.20559797005</v>
      </c>
      <c r="U216" s="195">
        <f t="shared" si="125"/>
        <v>242526.93549637005</v>
      </c>
      <c r="V216" s="183">
        <f t="shared" si="125"/>
        <v>41543.069561919991</v>
      </c>
      <c r="W216" s="183">
        <f t="shared" si="125"/>
        <v>14464.799460319995</v>
      </c>
      <c r="Y216" s="195">
        <f t="shared" si="130"/>
        <v>255460.20559797005</v>
      </c>
      <c r="Z216" s="195">
        <f t="shared" si="126"/>
        <v>233300.93549637005</v>
      </c>
      <c r="AA216" s="183">
        <f t="shared" si="126"/>
        <v>28942.069561919991</v>
      </c>
      <c r="AB216" s="184">
        <f t="shared" si="126"/>
        <v>6782.799460319995</v>
      </c>
      <c r="AC216" s="101"/>
      <c r="AD216" s="184">
        <f t="shared" si="131"/>
        <v>-172463.79440202995</v>
      </c>
      <c r="AE216" s="184">
        <f t="shared" si="127"/>
        <v>-68371.064503629954</v>
      </c>
      <c r="AF216" s="184">
        <f t="shared" si="127"/>
        <v>-359361.93043807999</v>
      </c>
      <c r="AG216" s="184">
        <f t="shared" si="127"/>
        <v>-255269.20053967999</v>
      </c>
    </row>
    <row r="217" spans="13:33" ht="28.8" x14ac:dyDescent="0.3">
      <c r="M217" s="222" t="s">
        <v>928</v>
      </c>
      <c r="O217" s="195">
        <f t="shared" ref="O217:R219" si="137">O87*O134</f>
        <v>302204.55554195994</v>
      </c>
      <c r="P217" s="195">
        <f t="shared" si="137"/>
        <v>268711.25966138399</v>
      </c>
      <c r="Q217" s="183">
        <f t="shared" si="137"/>
        <v>60381.416290559988</v>
      </c>
      <c r="R217" s="183">
        <f t="shared" si="137"/>
        <v>26888.120409983996</v>
      </c>
      <c r="T217" s="195">
        <f t="shared" si="129"/>
        <v>285782.55554195994</v>
      </c>
      <c r="U217" s="195">
        <f t="shared" si="125"/>
        <v>256389.25966138399</v>
      </c>
      <c r="V217" s="183">
        <f t="shared" si="125"/>
        <v>45246.416290559988</v>
      </c>
      <c r="W217" s="183">
        <f t="shared" si="125"/>
        <v>15852.120409983996</v>
      </c>
      <c r="Y217" s="195">
        <f t="shared" si="130"/>
        <v>271638.55554195994</v>
      </c>
      <c r="Z217" s="195">
        <f t="shared" si="126"/>
        <v>247163.25966138399</v>
      </c>
      <c r="AA217" s="183">
        <f t="shared" si="126"/>
        <v>32645.416290559988</v>
      </c>
      <c r="AB217" s="184">
        <f t="shared" si="126"/>
        <v>8170.1204099839961</v>
      </c>
      <c r="AC217" s="101"/>
      <c r="AD217" s="184">
        <f t="shared" si="131"/>
        <v>-156285.44445804006</v>
      </c>
      <c r="AE217" s="184">
        <f t="shared" si="127"/>
        <v>-54508.740338616015</v>
      </c>
      <c r="AF217" s="184">
        <f t="shared" si="127"/>
        <v>-355658.58370944002</v>
      </c>
      <c r="AG217" s="184">
        <f t="shared" si="127"/>
        <v>-253881.879590016</v>
      </c>
    </row>
    <row r="218" spans="13:33" x14ac:dyDescent="0.3">
      <c r="M218" s="222"/>
      <c r="O218" s="195">
        <f t="shared" si="137"/>
        <v>311612.8882786188</v>
      </c>
      <c r="P218" s="195">
        <f t="shared" si="137"/>
        <v>276772.73432965367</v>
      </c>
      <c r="Q218" s="183">
        <f t="shared" si="137"/>
        <v>62535.054849676788</v>
      </c>
      <c r="R218" s="183">
        <f t="shared" si="137"/>
        <v>27694.900900711684</v>
      </c>
      <c r="T218" s="195">
        <f t="shared" si="129"/>
        <v>295190.8882786188</v>
      </c>
      <c r="U218" s="195">
        <f t="shared" si="125"/>
        <v>264450.73432965367</v>
      </c>
      <c r="V218" s="183">
        <f t="shared" si="125"/>
        <v>47400.054849676788</v>
      </c>
      <c r="W218" s="183">
        <f t="shared" si="125"/>
        <v>16658.900900711684</v>
      </c>
      <c r="Y218" s="195">
        <f t="shared" si="130"/>
        <v>281046.8882786188</v>
      </c>
      <c r="Z218" s="195">
        <f t="shared" si="126"/>
        <v>255224.73432965367</v>
      </c>
      <c r="AA218" s="183">
        <f t="shared" si="126"/>
        <v>34799.054849676788</v>
      </c>
      <c r="AB218" s="184">
        <f t="shared" si="126"/>
        <v>8976.9009007116838</v>
      </c>
      <c r="AC218" s="101"/>
      <c r="AD218" s="184">
        <f t="shared" si="131"/>
        <v>-146877.1117213812</v>
      </c>
      <c r="AE218" s="184">
        <f t="shared" si="127"/>
        <v>-46447.265670346329</v>
      </c>
      <c r="AF218" s="184">
        <f t="shared" si="127"/>
        <v>-353504.94515032321</v>
      </c>
      <c r="AG218" s="184">
        <f t="shared" si="127"/>
        <v>-253075.09909928832</v>
      </c>
    </row>
    <row r="219" spans="13:33" x14ac:dyDescent="0.3">
      <c r="M219" s="111"/>
      <c r="N219" s="8"/>
      <c r="O219" s="196">
        <f t="shared" si="137"/>
        <v>314678.31224646769</v>
      </c>
      <c r="P219" s="196">
        <f t="shared" si="137"/>
        <v>279399.32485913543</v>
      </c>
      <c r="Q219" s="193">
        <f t="shared" si="137"/>
        <v>63236.753592906483</v>
      </c>
      <c r="R219" s="193">
        <f t="shared" si="137"/>
        <v>27957.766205574157</v>
      </c>
      <c r="T219" s="196">
        <f t="shared" si="129"/>
        <v>298256.31224646769</v>
      </c>
      <c r="U219" s="196">
        <f t="shared" si="125"/>
        <v>267077.32485913543</v>
      </c>
      <c r="V219" s="193">
        <f t="shared" si="125"/>
        <v>48101.753592906483</v>
      </c>
      <c r="W219" s="193">
        <f t="shared" si="125"/>
        <v>16921.766205574157</v>
      </c>
      <c r="Y219" s="196">
        <f t="shared" si="130"/>
        <v>284112.31224646769</v>
      </c>
      <c r="Z219" s="196">
        <f t="shared" si="126"/>
        <v>257851.32485913543</v>
      </c>
      <c r="AA219" s="193">
        <f t="shared" si="126"/>
        <v>35500.753592906483</v>
      </c>
      <c r="AB219" s="197">
        <f t="shared" si="126"/>
        <v>9239.7662055741566</v>
      </c>
      <c r="AC219" s="101"/>
      <c r="AD219" s="197">
        <f t="shared" si="131"/>
        <v>-143811.68775353231</v>
      </c>
      <c r="AE219" s="197">
        <f t="shared" si="127"/>
        <v>-43820.675140864565</v>
      </c>
      <c r="AF219" s="197">
        <f t="shared" si="127"/>
        <v>-352803.24640709354</v>
      </c>
      <c r="AG219" s="197">
        <f t="shared" si="127"/>
        <v>-252812.23379442585</v>
      </c>
    </row>
    <row r="220" spans="13:33" x14ac:dyDescent="0.3">
      <c r="M220" s="237"/>
      <c r="N220" s="207"/>
      <c r="O220" s="183">
        <f>O90*O133</f>
        <v>43410.245364985007</v>
      </c>
      <c r="P220" s="183">
        <f t="shared" ref="P220:R220" si="138">P90*P133</f>
        <v>38678.465834185001</v>
      </c>
      <c r="Q220" s="184">
        <f t="shared" si="138"/>
        <v>8602.0401569599981</v>
      </c>
      <c r="R220" s="184">
        <f t="shared" si="138"/>
        <v>3870.2606261600008</v>
      </c>
      <c r="T220" s="183">
        <f t="shared" si="129"/>
        <v>26988.245364985007</v>
      </c>
      <c r="U220" s="183">
        <f t="shared" si="129"/>
        <v>26356.465834185001</v>
      </c>
      <c r="V220" s="184">
        <f t="shared" si="129"/>
        <v>-6532.9598430400019</v>
      </c>
      <c r="W220" s="184">
        <f t="shared" si="129"/>
        <v>-7165.7393738399987</v>
      </c>
      <c r="Y220" s="183">
        <f t="shared" si="130"/>
        <v>12844.245364985007</v>
      </c>
      <c r="Z220" s="183">
        <f t="shared" si="130"/>
        <v>17130.465834185001</v>
      </c>
      <c r="AA220" s="184">
        <f t="shared" si="130"/>
        <v>-19133.95984304</v>
      </c>
      <c r="AB220" s="184">
        <f t="shared" si="130"/>
        <v>-14847.739373839999</v>
      </c>
      <c r="AC220" s="101"/>
      <c r="AD220" s="184">
        <f t="shared" si="131"/>
        <v>-415079.75463501498</v>
      </c>
      <c r="AE220" s="184">
        <f t="shared" si="131"/>
        <v>-284541.53416581498</v>
      </c>
      <c r="AF220" s="184">
        <f t="shared" si="131"/>
        <v>-407437.95984303998</v>
      </c>
      <c r="AG220" s="184">
        <f t="shared" si="131"/>
        <v>-276899.73937383998</v>
      </c>
    </row>
    <row r="221" spans="13:33" ht="28.8" x14ac:dyDescent="0.3">
      <c r="M221" s="222" t="s">
        <v>929</v>
      </c>
      <c r="O221" s="183">
        <f t="shared" ref="O221:R223" si="139">O91*O134</f>
        <v>45865.63625897999</v>
      </c>
      <c r="P221" s="183">
        <f t="shared" si="139"/>
        <v>40782.353105892005</v>
      </c>
      <c r="Q221" s="184">
        <f t="shared" si="139"/>
        <v>9164.0977132799962</v>
      </c>
      <c r="R221" s="184">
        <f t="shared" si="139"/>
        <v>4080.8145601920005</v>
      </c>
      <c r="T221" s="183">
        <f t="shared" si="129"/>
        <v>29443.63625897999</v>
      </c>
      <c r="U221" s="183">
        <f t="shared" si="129"/>
        <v>28460.353105892005</v>
      </c>
      <c r="V221" s="184">
        <f t="shared" si="129"/>
        <v>-5970.9022867200038</v>
      </c>
      <c r="W221" s="184">
        <f t="shared" si="129"/>
        <v>-6955.1854398079995</v>
      </c>
      <c r="Y221" s="183">
        <f t="shared" si="130"/>
        <v>15299.63625897999</v>
      </c>
      <c r="Z221" s="183">
        <f t="shared" si="130"/>
        <v>19234.353105892005</v>
      </c>
      <c r="AA221" s="184">
        <f t="shared" si="130"/>
        <v>-18571.902286720004</v>
      </c>
      <c r="AB221" s="184">
        <f t="shared" si="130"/>
        <v>-14637.185439808</v>
      </c>
      <c r="AC221" s="101"/>
      <c r="AD221" s="184">
        <f t="shared" si="131"/>
        <v>-412624.36374102003</v>
      </c>
      <c r="AE221" s="184">
        <f t="shared" si="131"/>
        <v>-282437.64689410798</v>
      </c>
      <c r="AF221" s="184">
        <f t="shared" si="131"/>
        <v>-406875.90228672</v>
      </c>
      <c r="AG221" s="184">
        <f t="shared" si="131"/>
        <v>-276689.185439808</v>
      </c>
    </row>
    <row r="222" spans="13:33" x14ac:dyDescent="0.3">
      <c r="M222" s="222"/>
      <c r="O222" s="183">
        <f t="shared" si="139"/>
        <v>47293.540501949399</v>
      </c>
      <c r="P222" s="183">
        <f t="shared" si="139"/>
        <v>42005.844473130848</v>
      </c>
      <c r="Q222" s="184">
        <f t="shared" si="139"/>
        <v>9490.9557998783985</v>
      </c>
      <c r="R222" s="184">
        <f t="shared" si="139"/>
        <v>4203.259771059842</v>
      </c>
      <c r="T222" s="183">
        <f t="shared" si="129"/>
        <v>30871.540501949399</v>
      </c>
      <c r="U222" s="183">
        <f t="shared" si="129"/>
        <v>29683.844473130848</v>
      </c>
      <c r="V222" s="184">
        <f t="shared" si="129"/>
        <v>-5644.0442001216015</v>
      </c>
      <c r="W222" s="184">
        <f t="shared" si="129"/>
        <v>-6832.740228940158</v>
      </c>
      <c r="Y222" s="183">
        <f t="shared" si="130"/>
        <v>16727.540501949399</v>
      </c>
      <c r="Z222" s="183">
        <f t="shared" si="130"/>
        <v>20457.844473130848</v>
      </c>
      <c r="AA222" s="184">
        <f t="shared" si="130"/>
        <v>-18245.0442001216</v>
      </c>
      <c r="AB222" s="184">
        <f t="shared" si="130"/>
        <v>-14514.740228940158</v>
      </c>
      <c r="AC222" s="101"/>
      <c r="AD222" s="184">
        <f t="shared" si="131"/>
        <v>-411196.45949805062</v>
      </c>
      <c r="AE222" s="184">
        <f t="shared" si="131"/>
        <v>-281214.15552686917</v>
      </c>
      <c r="AF222" s="184">
        <f t="shared" si="131"/>
        <v>-406549.0442001216</v>
      </c>
      <c r="AG222" s="184">
        <f t="shared" si="131"/>
        <v>-276566.74022894015</v>
      </c>
    </row>
    <row r="223" spans="13:33" x14ac:dyDescent="0.3">
      <c r="M223" s="111"/>
      <c r="N223" s="8"/>
      <c r="O223" s="193">
        <f t="shared" si="139"/>
        <v>47758.780413494664</v>
      </c>
      <c r="P223" s="193">
        <f t="shared" si="139"/>
        <v>42404.482559874581</v>
      </c>
      <c r="Q223" s="197">
        <f t="shared" si="139"/>
        <v>9597.4527362420449</v>
      </c>
      <c r="R223" s="197">
        <f t="shared" si="139"/>
        <v>4243.1548826219641</v>
      </c>
      <c r="T223" s="193">
        <f t="shared" si="129"/>
        <v>31336.780413494664</v>
      </c>
      <c r="U223" s="193">
        <f t="shared" si="129"/>
        <v>30082.482559874581</v>
      </c>
      <c r="V223" s="197">
        <f t="shared" si="129"/>
        <v>-5537.5472637579551</v>
      </c>
      <c r="W223" s="197">
        <f t="shared" si="129"/>
        <v>-6792.8451173780359</v>
      </c>
      <c r="Y223" s="193">
        <f t="shared" si="130"/>
        <v>17192.780413494664</v>
      </c>
      <c r="Z223" s="193">
        <f t="shared" si="130"/>
        <v>20856.482559874581</v>
      </c>
      <c r="AA223" s="197">
        <f t="shared" si="130"/>
        <v>-18138.547263757955</v>
      </c>
      <c r="AB223" s="197">
        <f t="shared" si="130"/>
        <v>-14474.845117378036</v>
      </c>
      <c r="AC223" s="101"/>
      <c r="AD223" s="197">
        <f t="shared" si="131"/>
        <v>-410731.21958650532</v>
      </c>
      <c r="AE223" s="197">
        <f t="shared" si="131"/>
        <v>-280815.5174401254</v>
      </c>
      <c r="AF223" s="197">
        <f t="shared" si="131"/>
        <v>-406442.54726375797</v>
      </c>
      <c r="AG223" s="197">
        <f t="shared" si="131"/>
        <v>-276526.84511737805</v>
      </c>
    </row>
    <row r="224" spans="13:33" x14ac:dyDescent="0.3">
      <c r="M224" s="237"/>
      <c r="N224" s="207"/>
      <c r="O224" s="184">
        <f>O94*O133</f>
        <v>249.00714358500005</v>
      </c>
      <c r="P224" s="184">
        <f t="shared" ref="P224:R224" si="140">P94*P133</f>
        <v>221.86500478500002</v>
      </c>
      <c r="Q224" s="184">
        <f t="shared" si="140"/>
        <v>49.342486560000005</v>
      </c>
      <c r="R224" s="184">
        <f t="shared" si="140"/>
        <v>22.20034776</v>
      </c>
      <c r="T224" s="184">
        <f t="shared" si="129"/>
        <v>-16172.992856415</v>
      </c>
      <c r="U224" s="184">
        <f t="shared" si="129"/>
        <v>-12100.134995214999</v>
      </c>
      <c r="V224" s="184">
        <f t="shared" si="129"/>
        <v>-15085.657513439999</v>
      </c>
      <c r="W224" s="184">
        <f t="shared" si="129"/>
        <v>-11013.799652240001</v>
      </c>
      <c r="Y224" s="184">
        <f t="shared" si="130"/>
        <v>-30316.992856415</v>
      </c>
      <c r="Z224" s="184">
        <f t="shared" si="130"/>
        <v>-21326.134995215001</v>
      </c>
      <c r="AA224" s="184">
        <f t="shared" si="130"/>
        <v>-27686.657513440001</v>
      </c>
      <c r="AB224" s="184">
        <f t="shared" si="130"/>
        <v>-18695.799652239999</v>
      </c>
      <c r="AC224" s="101"/>
      <c r="AD224" s="184">
        <f t="shared" si="131"/>
        <v>-458240.99285641499</v>
      </c>
      <c r="AE224" s="184">
        <f t="shared" si="131"/>
        <v>-322998.13499521499</v>
      </c>
      <c r="AF224" s="184">
        <f t="shared" si="131"/>
        <v>-415990.65751344</v>
      </c>
      <c r="AG224" s="184">
        <f t="shared" si="131"/>
        <v>-280747.79965224001</v>
      </c>
    </row>
    <row r="225" spans="1:33" x14ac:dyDescent="0.3">
      <c r="M225" s="222" t="s">
        <v>827</v>
      </c>
      <c r="O225" s="184">
        <f t="shared" ref="O225:R227" si="141">O95*O134</f>
        <v>263.09160377999996</v>
      </c>
      <c r="P225" s="184">
        <f t="shared" si="141"/>
        <v>233.93319181199996</v>
      </c>
      <c r="Q225" s="184">
        <f t="shared" si="141"/>
        <v>52.566526079999996</v>
      </c>
      <c r="R225" s="184">
        <f t="shared" si="141"/>
        <v>23.408114111999996</v>
      </c>
      <c r="T225" s="184">
        <f t="shared" si="129"/>
        <v>-16158.90839622</v>
      </c>
      <c r="U225" s="184">
        <f t="shared" si="129"/>
        <v>-12088.066808187999</v>
      </c>
      <c r="V225" s="184">
        <f t="shared" si="129"/>
        <v>-15082.43347392</v>
      </c>
      <c r="W225" s="184">
        <f t="shared" si="129"/>
        <v>-11012.591885888</v>
      </c>
      <c r="Y225" s="184">
        <f t="shared" si="130"/>
        <v>-30302.908396219998</v>
      </c>
      <c r="Z225" s="184">
        <f t="shared" si="130"/>
        <v>-21314.066808187999</v>
      </c>
      <c r="AA225" s="184">
        <f t="shared" si="130"/>
        <v>-27683.433473919999</v>
      </c>
      <c r="AB225" s="184">
        <f t="shared" si="130"/>
        <v>-18694.591885888</v>
      </c>
      <c r="AC225" s="101"/>
      <c r="AD225" s="184">
        <f t="shared" si="131"/>
        <v>-458226.90839622001</v>
      </c>
      <c r="AE225" s="184">
        <f t="shared" si="131"/>
        <v>-322986.06680818798</v>
      </c>
      <c r="AF225" s="184">
        <f t="shared" si="131"/>
        <v>-415987.43347391998</v>
      </c>
      <c r="AG225" s="184">
        <f t="shared" si="131"/>
        <v>-280746.59188588802</v>
      </c>
    </row>
    <row r="226" spans="1:33" x14ac:dyDescent="0.3">
      <c r="M226" s="221" t="s">
        <v>925</v>
      </c>
      <c r="O226" s="184">
        <f t="shared" si="141"/>
        <v>271.2822590934</v>
      </c>
      <c r="P226" s="184">
        <f t="shared" si="141"/>
        <v>240.95130672924</v>
      </c>
      <c r="Q226" s="184">
        <f t="shared" si="141"/>
        <v>54.441429062399997</v>
      </c>
      <c r="R226" s="184">
        <f t="shared" si="141"/>
        <v>24.110476698240006</v>
      </c>
      <c r="T226" s="184">
        <f t="shared" si="129"/>
        <v>-16150.717740906601</v>
      </c>
      <c r="U226" s="184">
        <f t="shared" si="129"/>
        <v>-12081.048693270761</v>
      </c>
      <c r="V226" s="184">
        <f t="shared" si="129"/>
        <v>-15080.558570937599</v>
      </c>
      <c r="W226" s="184">
        <f t="shared" si="129"/>
        <v>-11011.889523301759</v>
      </c>
      <c r="Y226" s="184">
        <f t="shared" si="130"/>
        <v>-30294.717740906599</v>
      </c>
      <c r="Z226" s="184">
        <f t="shared" si="130"/>
        <v>-21307.048693270761</v>
      </c>
      <c r="AA226" s="184">
        <f t="shared" si="130"/>
        <v>-27681.558570937599</v>
      </c>
      <c r="AB226" s="184">
        <f t="shared" si="130"/>
        <v>-18693.889523301761</v>
      </c>
      <c r="AC226" s="101"/>
      <c r="AD226" s="184">
        <f t="shared" si="131"/>
        <v>-458218.71774090658</v>
      </c>
      <c r="AE226" s="184">
        <f t="shared" si="131"/>
        <v>-322979.04869327077</v>
      </c>
      <c r="AF226" s="184">
        <f t="shared" si="131"/>
        <v>-415985.5585709376</v>
      </c>
      <c r="AG226" s="184">
        <f t="shared" si="131"/>
        <v>-280745.88952330174</v>
      </c>
    </row>
    <row r="227" spans="1:33" x14ac:dyDescent="0.3">
      <c r="A227" s="86"/>
      <c r="M227" s="8"/>
      <c r="N227" s="8"/>
      <c r="O227" s="197">
        <f t="shared" si="141"/>
        <v>273.950939274348</v>
      </c>
      <c r="P227" s="197">
        <f t="shared" si="141"/>
        <v>243.23794967423279</v>
      </c>
      <c r="Q227" s="197">
        <f t="shared" si="141"/>
        <v>55.052310150528001</v>
      </c>
      <c r="R227" s="197">
        <f t="shared" si="141"/>
        <v>24.339320550412793</v>
      </c>
      <c r="T227" s="197">
        <f t="shared" si="129"/>
        <v>-16148.049060725652</v>
      </c>
      <c r="U227" s="197">
        <f t="shared" si="129"/>
        <v>-12078.762050325768</v>
      </c>
      <c r="V227" s="197">
        <f t="shared" si="129"/>
        <v>-15079.947689849472</v>
      </c>
      <c r="W227" s="197">
        <f t="shared" si="129"/>
        <v>-11011.660679449587</v>
      </c>
      <c r="Y227" s="184">
        <f t="shared" si="130"/>
        <v>-30292.049060725651</v>
      </c>
      <c r="Z227" s="184">
        <f t="shared" si="130"/>
        <v>-21304.762050325768</v>
      </c>
      <c r="AA227" s="184">
        <f t="shared" si="130"/>
        <v>-27680.947689849472</v>
      </c>
      <c r="AB227" s="184">
        <f t="shared" si="130"/>
        <v>-18693.660679449586</v>
      </c>
      <c r="AC227" s="101"/>
      <c r="AD227" s="184">
        <f t="shared" si="131"/>
        <v>-458216.04906072567</v>
      </c>
      <c r="AE227" s="184">
        <f t="shared" si="131"/>
        <v>-322976.76205032575</v>
      </c>
      <c r="AF227" s="184">
        <f t="shared" si="131"/>
        <v>-415984.94768984948</v>
      </c>
      <c r="AG227" s="184">
        <f t="shared" si="131"/>
        <v>-280745.66067944956</v>
      </c>
    </row>
    <row r="229" spans="1:33" x14ac:dyDescent="0.3">
      <c r="M229" s="221" t="s">
        <v>859</v>
      </c>
      <c r="T229" s="221" t="s">
        <v>969</v>
      </c>
      <c r="Y229" s="221" t="s">
        <v>968</v>
      </c>
      <c r="AD229" s="221" t="s">
        <v>970</v>
      </c>
    </row>
    <row r="230" spans="1:33" x14ac:dyDescent="0.3">
      <c r="M230" s="176" t="s">
        <v>823</v>
      </c>
      <c r="N230" s="8"/>
      <c r="O230" s="188" t="s">
        <v>828</v>
      </c>
      <c r="P230" s="188" t="s">
        <v>829</v>
      </c>
      <c r="Q230" s="188" t="s">
        <v>830</v>
      </c>
      <c r="R230" s="188" t="s">
        <v>831</v>
      </c>
      <c r="T230" s="170">
        <f>11789+4633</f>
        <v>16422</v>
      </c>
      <c r="U230" s="170">
        <f>7689+4633</f>
        <v>12322</v>
      </c>
      <c r="V230" s="170">
        <f>10502+4633</f>
        <v>15135</v>
      </c>
      <c r="W230" s="170">
        <f>6403+4633</f>
        <v>11036</v>
      </c>
      <c r="X230" s="8"/>
      <c r="Y230" s="170">
        <f>25933+4633</f>
        <v>30566</v>
      </c>
      <c r="Z230" s="170">
        <f>16915+4633</f>
        <v>21548</v>
      </c>
      <c r="AA230" s="170">
        <f>23103+4633</f>
        <v>27736</v>
      </c>
      <c r="AB230" s="170">
        <f>14085+4633</f>
        <v>18718</v>
      </c>
      <c r="AC230" s="8"/>
      <c r="AD230" s="170">
        <f>Y230*15</f>
        <v>458490</v>
      </c>
      <c r="AE230" s="170">
        <f>Z230*15</f>
        <v>323220</v>
      </c>
      <c r="AF230" s="170">
        <f>AA230*15</f>
        <v>416040</v>
      </c>
      <c r="AG230" s="170">
        <f>AB230*15</f>
        <v>280770</v>
      </c>
    </row>
    <row r="231" spans="1:33" x14ac:dyDescent="0.3">
      <c r="M231" s="225"/>
      <c r="N231" s="207"/>
      <c r="O231" s="182">
        <f>O74*(O133+O137)</f>
        <v>100500976.48500001</v>
      </c>
      <c r="P231" s="182">
        <f t="shared" ref="P231:R231" si="142">P74*(P133+P137)</f>
        <v>91453596.88499999</v>
      </c>
      <c r="Q231" s="182">
        <f t="shared" si="142"/>
        <v>33946090.810000002</v>
      </c>
      <c r="R231" s="182">
        <f t="shared" si="142"/>
        <v>24898711.209999997</v>
      </c>
      <c r="T231" s="182">
        <f>O231-T$147</f>
        <v>100484554.48500001</v>
      </c>
      <c r="U231" s="182">
        <f t="shared" ref="U231:W246" si="143">P231-U$147</f>
        <v>91441274.88499999</v>
      </c>
      <c r="V231" s="182">
        <f t="shared" si="143"/>
        <v>33930955.810000002</v>
      </c>
      <c r="W231" s="182">
        <f t="shared" si="143"/>
        <v>24887675.209999997</v>
      </c>
      <c r="X231" s="207"/>
      <c r="Y231" s="182">
        <f>O231-Y$230</f>
        <v>100470410.48500001</v>
      </c>
      <c r="Z231" s="182">
        <f t="shared" ref="Z231:AB246" si="144">P231-Z$230</f>
        <v>91432048.88499999</v>
      </c>
      <c r="AA231" s="182">
        <f t="shared" si="144"/>
        <v>33918354.810000002</v>
      </c>
      <c r="AB231" s="182">
        <f t="shared" si="144"/>
        <v>24879993.209999997</v>
      </c>
      <c r="AC231" s="207"/>
      <c r="AD231" s="182">
        <f>O231-AD$230</f>
        <v>100042486.48500001</v>
      </c>
      <c r="AE231" s="182">
        <f t="shared" ref="AE231:AG246" si="145">P231-AE$230</f>
        <v>91130376.88499999</v>
      </c>
      <c r="AF231" s="182">
        <f t="shared" si="145"/>
        <v>33530050.810000002</v>
      </c>
      <c r="AG231" s="182">
        <f t="shared" si="145"/>
        <v>24617941.209999997</v>
      </c>
    </row>
    <row r="232" spans="1:33" x14ac:dyDescent="0.3">
      <c r="M232" s="222" t="s">
        <v>826</v>
      </c>
      <c r="O232" s="182">
        <f t="shared" ref="O232:R234" si="146">O75*(O134+O138)</f>
        <v>106125078.98199999</v>
      </c>
      <c r="P232" s="182">
        <f t="shared" si="146"/>
        <v>96405608.326000005</v>
      </c>
      <c r="Q232" s="182">
        <f t="shared" si="146"/>
        <v>35950053.081999995</v>
      </c>
      <c r="R232" s="182">
        <f t="shared" si="146"/>
        <v>26230582.425999999</v>
      </c>
      <c r="T232" s="182">
        <f>O232-T$147</f>
        <v>106108656.98199999</v>
      </c>
      <c r="U232" s="182">
        <f t="shared" si="143"/>
        <v>96393286.326000005</v>
      </c>
      <c r="V232" s="182">
        <f t="shared" si="143"/>
        <v>35934918.081999995</v>
      </c>
      <c r="W232" s="182">
        <f t="shared" si="143"/>
        <v>26219546.425999999</v>
      </c>
      <c r="Y232" s="182">
        <f>O232-Y$230</f>
        <v>106094512.98199999</v>
      </c>
      <c r="Z232" s="182">
        <f t="shared" si="144"/>
        <v>96384060.326000005</v>
      </c>
      <c r="AA232" s="182">
        <f t="shared" si="144"/>
        <v>35922317.081999995</v>
      </c>
      <c r="AB232" s="182">
        <f t="shared" si="144"/>
        <v>26211864.425999999</v>
      </c>
      <c r="AC232" s="101"/>
      <c r="AD232" s="182">
        <f>O232-AD$230</f>
        <v>105666588.98199999</v>
      </c>
      <c r="AE232" s="182">
        <f t="shared" si="145"/>
        <v>96082388.326000005</v>
      </c>
      <c r="AF232" s="182">
        <f t="shared" si="145"/>
        <v>35534013.081999995</v>
      </c>
      <c r="AG232" s="182">
        <f t="shared" si="145"/>
        <v>25949812.425999999</v>
      </c>
    </row>
    <row r="233" spans="1:33" x14ac:dyDescent="0.3">
      <c r="A233" s="86"/>
      <c r="M233" s="222" t="s">
        <v>924</v>
      </c>
      <c r="O233" s="182">
        <f t="shared" si="146"/>
        <v>109395710.89564</v>
      </c>
      <c r="P233" s="182">
        <f t="shared" si="146"/>
        <v>99285393.440919995</v>
      </c>
      <c r="Q233" s="182">
        <f t="shared" si="146"/>
        <v>37115434.21864</v>
      </c>
      <c r="R233" s="182">
        <f t="shared" si="146"/>
        <v>27005116.763920002</v>
      </c>
      <c r="T233" s="182">
        <f t="shared" ref="T233:W254" si="147">O233-T$147</f>
        <v>109379288.89564</v>
      </c>
      <c r="U233" s="182">
        <f t="shared" si="143"/>
        <v>99273071.440919995</v>
      </c>
      <c r="V233" s="182">
        <f t="shared" si="143"/>
        <v>37100299.21864</v>
      </c>
      <c r="W233" s="182">
        <f t="shared" si="143"/>
        <v>26994080.763920002</v>
      </c>
      <c r="Y233" s="182">
        <f t="shared" ref="Y233:AB254" si="148">O233-Y$230</f>
        <v>109365144.89564</v>
      </c>
      <c r="Z233" s="182">
        <f t="shared" si="144"/>
        <v>99263845.440919995</v>
      </c>
      <c r="AA233" s="182">
        <f t="shared" si="144"/>
        <v>37087698.21864</v>
      </c>
      <c r="AB233" s="182">
        <f t="shared" si="144"/>
        <v>26986398.763920002</v>
      </c>
      <c r="AC233" s="101"/>
      <c r="AD233" s="182">
        <f t="shared" ref="AD233:AG254" si="149">O233-AD$230</f>
        <v>108937220.89564</v>
      </c>
      <c r="AE233" s="182">
        <f t="shared" si="145"/>
        <v>98962173.440919995</v>
      </c>
      <c r="AF233" s="182">
        <f t="shared" si="145"/>
        <v>36699394.21864</v>
      </c>
      <c r="AG233" s="182">
        <f t="shared" si="145"/>
        <v>26724346.763920002</v>
      </c>
    </row>
    <row r="234" spans="1:33" x14ac:dyDescent="0.3">
      <c r="M234" s="111"/>
      <c r="N234" s="8"/>
      <c r="O234" s="194">
        <f t="shared" si="146"/>
        <v>110461348.53184079</v>
      </c>
      <c r="P234" s="194">
        <f t="shared" si="146"/>
        <v>100223685.3318024</v>
      </c>
      <c r="Q234" s="194">
        <f t="shared" si="146"/>
        <v>37495138.823900796</v>
      </c>
      <c r="R234" s="194">
        <f t="shared" si="146"/>
        <v>27257475.623862397</v>
      </c>
      <c r="T234" s="194">
        <f t="shared" si="147"/>
        <v>110444926.53184079</v>
      </c>
      <c r="U234" s="194">
        <f t="shared" si="143"/>
        <v>100211363.3318024</v>
      </c>
      <c r="V234" s="194">
        <f t="shared" si="143"/>
        <v>37480003.823900796</v>
      </c>
      <c r="W234" s="194">
        <f t="shared" si="143"/>
        <v>27246439.623862397</v>
      </c>
      <c r="Y234" s="194">
        <f t="shared" si="148"/>
        <v>110430782.53184079</v>
      </c>
      <c r="Z234" s="194">
        <f t="shared" si="144"/>
        <v>100202137.3318024</v>
      </c>
      <c r="AA234" s="194">
        <f t="shared" si="144"/>
        <v>37467402.823900796</v>
      </c>
      <c r="AB234" s="194">
        <f t="shared" si="144"/>
        <v>27238757.623862397</v>
      </c>
      <c r="AC234" s="101"/>
      <c r="AD234" s="194">
        <f t="shared" si="149"/>
        <v>110002858.53184079</v>
      </c>
      <c r="AE234" s="194">
        <f t="shared" si="145"/>
        <v>99900465.331802398</v>
      </c>
      <c r="AF234" s="194">
        <f t="shared" si="145"/>
        <v>37079098.823900796</v>
      </c>
      <c r="AG234" s="194">
        <f t="shared" si="145"/>
        <v>26976705.623862397</v>
      </c>
    </row>
    <row r="235" spans="1:33" x14ac:dyDescent="0.3">
      <c r="M235" s="237"/>
      <c r="N235" s="207"/>
      <c r="O235" s="182">
        <f>O78*(O133+O137)</f>
        <v>46352256.366599828</v>
      </c>
      <c r="P235" s="182">
        <f t="shared" ref="P235:R235" si="150">P78*(P133+P137)</f>
        <v>42179496.326524615</v>
      </c>
      <c r="Q235" s="182">
        <f t="shared" si="150"/>
        <v>15656344.43466172</v>
      </c>
      <c r="R235" s="182">
        <f t="shared" si="150"/>
        <v>11483584.394586518</v>
      </c>
      <c r="T235" s="182">
        <f t="shared" si="147"/>
        <v>46335834.366599828</v>
      </c>
      <c r="U235" s="182">
        <f t="shared" si="143"/>
        <v>42167174.326524615</v>
      </c>
      <c r="V235" s="182">
        <f t="shared" si="143"/>
        <v>15641209.43466172</v>
      </c>
      <c r="W235" s="182">
        <f t="shared" si="143"/>
        <v>11472548.394586518</v>
      </c>
      <c r="Y235" s="182">
        <f t="shared" si="148"/>
        <v>46321690.366599828</v>
      </c>
      <c r="Z235" s="182">
        <f t="shared" si="144"/>
        <v>42157948.326524615</v>
      </c>
      <c r="AA235" s="182">
        <f t="shared" si="144"/>
        <v>15628608.43466172</v>
      </c>
      <c r="AB235" s="182">
        <f t="shared" si="144"/>
        <v>11464866.394586518</v>
      </c>
      <c r="AC235" s="101"/>
      <c r="AD235" s="182">
        <f t="shared" si="149"/>
        <v>45893766.366599828</v>
      </c>
      <c r="AE235" s="182">
        <f t="shared" si="145"/>
        <v>41856276.326524615</v>
      </c>
      <c r="AF235" s="182">
        <f t="shared" si="145"/>
        <v>15240304.43466172</v>
      </c>
      <c r="AG235" s="182">
        <f t="shared" si="145"/>
        <v>11202814.394586518</v>
      </c>
    </row>
    <row r="236" spans="1:33" ht="28.8" x14ac:dyDescent="0.3">
      <c r="M236" s="222" t="s">
        <v>926</v>
      </c>
      <c r="O236" s="182">
        <f t="shared" ref="O236:R238" si="151">O79*(O134+O138)</f>
        <v>48946159.927446187</v>
      </c>
      <c r="P236" s="182">
        <f t="shared" si="151"/>
        <v>44463423.427251108</v>
      </c>
      <c r="Q236" s="182">
        <f t="shared" si="151"/>
        <v>16580595.882055381</v>
      </c>
      <c r="R236" s="182">
        <f t="shared" si="151"/>
        <v>12097859.381860308</v>
      </c>
      <c r="T236" s="182">
        <f t="shared" si="147"/>
        <v>48929737.927446187</v>
      </c>
      <c r="U236" s="182">
        <f t="shared" si="143"/>
        <v>44451101.427251108</v>
      </c>
      <c r="V236" s="182">
        <f t="shared" si="143"/>
        <v>16565460.882055381</v>
      </c>
      <c r="W236" s="182">
        <f t="shared" si="143"/>
        <v>12086823.381860308</v>
      </c>
      <c r="Y236" s="182">
        <f t="shared" si="148"/>
        <v>48915593.927446187</v>
      </c>
      <c r="Z236" s="182">
        <f t="shared" si="144"/>
        <v>44441875.427251108</v>
      </c>
      <c r="AA236" s="182">
        <f t="shared" si="144"/>
        <v>16552859.882055381</v>
      </c>
      <c r="AB236" s="182">
        <f t="shared" si="144"/>
        <v>12079141.381860308</v>
      </c>
      <c r="AC236" s="101"/>
      <c r="AD236" s="182">
        <f t="shared" si="149"/>
        <v>48487669.927446187</v>
      </c>
      <c r="AE236" s="182">
        <f t="shared" si="145"/>
        <v>44140203.427251108</v>
      </c>
      <c r="AF236" s="182">
        <f t="shared" si="145"/>
        <v>16164555.882055381</v>
      </c>
      <c r="AG236" s="182">
        <f t="shared" si="145"/>
        <v>11817089.381860308</v>
      </c>
    </row>
    <row r="237" spans="1:33" x14ac:dyDescent="0.3">
      <c r="M237" s="222"/>
      <c r="O237" s="182">
        <f t="shared" si="151"/>
        <v>50454614.613599919</v>
      </c>
      <c r="P237" s="182">
        <f t="shared" si="151"/>
        <v>45791614.879673593</v>
      </c>
      <c r="Q237" s="182">
        <f t="shared" si="151"/>
        <v>17118083.646847393</v>
      </c>
      <c r="R237" s="182">
        <f t="shared" si="151"/>
        <v>12455083.912921069</v>
      </c>
      <c r="T237" s="182">
        <f t="shared" si="147"/>
        <v>50438192.613599919</v>
      </c>
      <c r="U237" s="182">
        <f t="shared" si="143"/>
        <v>45779292.879673593</v>
      </c>
      <c r="V237" s="182">
        <f t="shared" si="143"/>
        <v>17102948.646847393</v>
      </c>
      <c r="W237" s="182">
        <f t="shared" si="143"/>
        <v>12444047.912921069</v>
      </c>
      <c r="Y237" s="182">
        <f t="shared" si="148"/>
        <v>50424048.613599919</v>
      </c>
      <c r="Z237" s="182">
        <f t="shared" si="144"/>
        <v>45770066.879673593</v>
      </c>
      <c r="AA237" s="182">
        <f t="shared" si="144"/>
        <v>17090347.646847393</v>
      </c>
      <c r="AB237" s="182">
        <f t="shared" si="144"/>
        <v>12436365.912921069</v>
      </c>
      <c r="AC237" s="101"/>
      <c r="AD237" s="182">
        <f t="shared" si="149"/>
        <v>49996124.613599919</v>
      </c>
      <c r="AE237" s="182">
        <f t="shared" si="145"/>
        <v>45468394.879673593</v>
      </c>
      <c r="AF237" s="182">
        <f t="shared" si="145"/>
        <v>16702043.646847393</v>
      </c>
      <c r="AG237" s="182">
        <f t="shared" si="145"/>
        <v>12174313.912921069</v>
      </c>
    </row>
    <row r="238" spans="1:33" x14ac:dyDescent="0.3">
      <c r="M238" s="111"/>
      <c r="N238" s="8"/>
      <c r="O238" s="194">
        <f t="shared" si="151"/>
        <v>50946099.479067355</v>
      </c>
      <c r="P238" s="194">
        <f t="shared" si="151"/>
        <v>46224366.359251253</v>
      </c>
      <c r="Q238" s="194">
        <f t="shared" si="151"/>
        <v>17293207.967248935</v>
      </c>
      <c r="R238" s="194">
        <f t="shared" si="151"/>
        <v>12571474.847432824</v>
      </c>
      <c r="T238" s="194">
        <f t="shared" si="147"/>
        <v>50929677.479067355</v>
      </c>
      <c r="U238" s="194">
        <f t="shared" si="143"/>
        <v>46212044.359251253</v>
      </c>
      <c r="V238" s="194">
        <f t="shared" si="143"/>
        <v>17278072.967248935</v>
      </c>
      <c r="W238" s="194">
        <f t="shared" si="143"/>
        <v>12560438.847432824</v>
      </c>
      <c r="Y238" s="194">
        <f t="shared" si="148"/>
        <v>50915533.479067355</v>
      </c>
      <c r="Z238" s="194">
        <f t="shared" si="144"/>
        <v>46202818.359251253</v>
      </c>
      <c r="AA238" s="194">
        <f t="shared" si="144"/>
        <v>17265471.967248935</v>
      </c>
      <c r="AB238" s="194">
        <f t="shared" si="144"/>
        <v>12552756.847432824</v>
      </c>
      <c r="AC238" s="101"/>
      <c r="AD238" s="194">
        <f t="shared" si="149"/>
        <v>50487609.479067355</v>
      </c>
      <c r="AE238" s="194">
        <f t="shared" si="145"/>
        <v>45901146.359251253</v>
      </c>
      <c r="AF238" s="194">
        <f t="shared" si="145"/>
        <v>16877167.967248935</v>
      </c>
      <c r="AG238" s="194">
        <f t="shared" si="145"/>
        <v>12290704.847432824</v>
      </c>
    </row>
    <row r="239" spans="1:33" x14ac:dyDescent="0.3">
      <c r="M239" s="237"/>
      <c r="N239" s="207"/>
      <c r="O239" s="182">
        <f>O82*(O133+O137)</f>
        <v>1055762.757974925</v>
      </c>
      <c r="P239" s="182">
        <f t="shared" ref="P239:R239" si="152">P82*(P133+P137)</f>
        <v>960720.03527692484</v>
      </c>
      <c r="Q239" s="195">
        <f t="shared" si="152"/>
        <v>356603.68395905005</v>
      </c>
      <c r="R239" s="195">
        <f t="shared" si="152"/>
        <v>261560.96126104999</v>
      </c>
      <c r="T239" s="182">
        <f t="shared" si="147"/>
        <v>1039340.757974925</v>
      </c>
      <c r="U239" s="182">
        <f t="shared" si="143"/>
        <v>948398.03527692484</v>
      </c>
      <c r="V239" s="195">
        <f t="shared" si="143"/>
        <v>341468.68395905005</v>
      </c>
      <c r="W239" s="195">
        <f t="shared" si="143"/>
        <v>250524.96126104999</v>
      </c>
      <c r="Y239" s="182">
        <f t="shared" si="148"/>
        <v>1025196.757974925</v>
      </c>
      <c r="Z239" s="182">
        <f t="shared" si="144"/>
        <v>939172.03527692484</v>
      </c>
      <c r="AA239" s="195">
        <f t="shared" si="144"/>
        <v>328867.68395905005</v>
      </c>
      <c r="AB239" s="195">
        <f t="shared" si="144"/>
        <v>242842.96126104999</v>
      </c>
      <c r="AC239" s="101"/>
      <c r="AD239" s="182">
        <f t="shared" si="149"/>
        <v>597272.75797492499</v>
      </c>
      <c r="AE239" s="195">
        <f t="shared" si="145"/>
        <v>637500.03527692484</v>
      </c>
      <c r="AF239" s="184">
        <f t="shared" si="145"/>
        <v>-59436.316040949954</v>
      </c>
      <c r="AG239" s="184">
        <f t="shared" si="145"/>
        <v>-19209.03873895001</v>
      </c>
    </row>
    <row r="240" spans="1:33" ht="28.8" x14ac:dyDescent="0.3">
      <c r="M240" s="222" t="s">
        <v>927</v>
      </c>
      <c r="O240" s="182">
        <f t="shared" ref="O240:R242" si="153">O83*(O134+O138)</f>
        <v>1114843.9547059098</v>
      </c>
      <c r="P240" s="182">
        <f t="shared" si="153"/>
        <v>1012740.91546463</v>
      </c>
      <c r="Q240" s="195">
        <f t="shared" si="153"/>
        <v>377655.30762640998</v>
      </c>
      <c r="R240" s="195">
        <f t="shared" si="153"/>
        <v>275552.26838513004</v>
      </c>
      <c r="T240" s="182">
        <f t="shared" si="147"/>
        <v>1098421.9547059098</v>
      </c>
      <c r="U240" s="182">
        <f t="shared" si="143"/>
        <v>1000418.91546463</v>
      </c>
      <c r="V240" s="195">
        <f t="shared" si="143"/>
        <v>362520.30762640998</v>
      </c>
      <c r="W240" s="195">
        <f t="shared" si="143"/>
        <v>264516.26838513004</v>
      </c>
      <c r="Y240" s="182">
        <f t="shared" si="148"/>
        <v>1084277.9547059098</v>
      </c>
      <c r="Z240" s="182">
        <f t="shared" si="144"/>
        <v>991192.91546463</v>
      </c>
      <c r="AA240" s="195">
        <f t="shared" si="144"/>
        <v>349919.30762640998</v>
      </c>
      <c r="AB240" s="195">
        <f t="shared" si="144"/>
        <v>256834.26838513004</v>
      </c>
      <c r="AC240" s="101"/>
      <c r="AD240" s="182">
        <f t="shared" si="149"/>
        <v>656353.95470590983</v>
      </c>
      <c r="AE240" s="195">
        <f t="shared" si="145"/>
        <v>689520.91546463</v>
      </c>
      <c r="AF240" s="184">
        <f t="shared" si="145"/>
        <v>-38384.69237359002</v>
      </c>
      <c r="AG240" s="184">
        <f t="shared" si="145"/>
        <v>-5217.731614869961</v>
      </c>
    </row>
    <row r="241" spans="1:33" x14ac:dyDescent="0.3">
      <c r="M241" s="222"/>
      <c r="O241" s="182">
        <f t="shared" si="153"/>
        <v>1149201.9429586981</v>
      </c>
      <c r="P241" s="182">
        <f t="shared" si="153"/>
        <v>1042993.0580968644</v>
      </c>
      <c r="Q241" s="195">
        <f t="shared" si="153"/>
        <v>389897.63646681322</v>
      </c>
      <c r="R241" s="195">
        <f t="shared" si="153"/>
        <v>283688.75160497962</v>
      </c>
      <c r="T241" s="182">
        <f t="shared" si="147"/>
        <v>1132779.9429586981</v>
      </c>
      <c r="U241" s="182">
        <f t="shared" si="143"/>
        <v>1030671.0580968644</v>
      </c>
      <c r="V241" s="195">
        <f t="shared" si="143"/>
        <v>374762.63646681322</v>
      </c>
      <c r="W241" s="195">
        <f t="shared" si="143"/>
        <v>272652.75160497962</v>
      </c>
      <c r="Y241" s="182">
        <f t="shared" si="148"/>
        <v>1118635.9429586981</v>
      </c>
      <c r="Z241" s="182">
        <f t="shared" si="144"/>
        <v>1021445.0580968644</v>
      </c>
      <c r="AA241" s="195">
        <f t="shared" si="144"/>
        <v>362161.63646681322</v>
      </c>
      <c r="AB241" s="195">
        <f t="shared" si="144"/>
        <v>264970.75160497962</v>
      </c>
      <c r="AC241" s="101"/>
      <c r="AD241" s="182">
        <f t="shared" si="149"/>
        <v>690711.94295869814</v>
      </c>
      <c r="AE241" s="195">
        <f t="shared" si="145"/>
        <v>719773.05809686438</v>
      </c>
      <c r="AF241" s="184">
        <f t="shared" si="145"/>
        <v>-26142.363533186784</v>
      </c>
      <c r="AG241" s="184">
        <f t="shared" si="145"/>
        <v>2918.751604979625</v>
      </c>
    </row>
    <row r="242" spans="1:33" x14ac:dyDescent="0.3">
      <c r="M242" s="111"/>
      <c r="N242" s="8"/>
      <c r="O242" s="194">
        <f t="shared" si="153"/>
        <v>1160396.4663269876</v>
      </c>
      <c r="P242" s="194">
        <f t="shared" si="153"/>
        <v>1052849.8144105843</v>
      </c>
      <c r="Q242" s="196">
        <f t="shared" si="153"/>
        <v>393886.43334507791</v>
      </c>
      <c r="R242" s="196">
        <f t="shared" si="153"/>
        <v>286339.78142867453</v>
      </c>
      <c r="T242" s="194">
        <f t="shared" si="147"/>
        <v>1143974.4663269876</v>
      </c>
      <c r="U242" s="194">
        <f t="shared" si="143"/>
        <v>1040527.8144105843</v>
      </c>
      <c r="V242" s="196">
        <f t="shared" si="143"/>
        <v>378751.43334507791</v>
      </c>
      <c r="W242" s="196">
        <f t="shared" si="143"/>
        <v>275303.78142867453</v>
      </c>
      <c r="Y242" s="194">
        <f t="shared" si="148"/>
        <v>1129830.4663269876</v>
      </c>
      <c r="Z242" s="194">
        <f t="shared" si="144"/>
        <v>1031301.8144105843</v>
      </c>
      <c r="AA242" s="196">
        <f t="shared" si="144"/>
        <v>366150.43334507791</v>
      </c>
      <c r="AB242" s="196">
        <f t="shared" si="144"/>
        <v>267621.78142867453</v>
      </c>
      <c r="AC242" s="101"/>
      <c r="AD242" s="194">
        <f t="shared" si="149"/>
        <v>701906.4663269876</v>
      </c>
      <c r="AE242" s="196">
        <f t="shared" si="145"/>
        <v>729629.81441058428</v>
      </c>
      <c r="AF242" s="197">
        <f t="shared" si="145"/>
        <v>-22153.566654922091</v>
      </c>
      <c r="AG242" s="197">
        <f t="shared" si="145"/>
        <v>5569.781428674527</v>
      </c>
    </row>
    <row r="243" spans="1:33" x14ac:dyDescent="0.3">
      <c r="M243" s="237"/>
      <c r="N243" s="207"/>
      <c r="O243" s="195">
        <f>O86*(O133+O137)</f>
        <v>346326.36496731004</v>
      </c>
      <c r="P243" s="195">
        <f t="shared" ref="P243:R243" si="154">P86*(P133+P137)</f>
        <v>315149.09486571001</v>
      </c>
      <c r="Q243" s="195">
        <f t="shared" si="154"/>
        <v>116978.22893125999</v>
      </c>
      <c r="R243" s="183">
        <f t="shared" si="154"/>
        <v>85800.958829659969</v>
      </c>
      <c r="T243" s="195">
        <f t="shared" si="147"/>
        <v>329904.36496731004</v>
      </c>
      <c r="U243" s="195">
        <f t="shared" si="143"/>
        <v>302827.09486571001</v>
      </c>
      <c r="V243" s="195">
        <f t="shared" si="143"/>
        <v>101843.22893125999</v>
      </c>
      <c r="W243" s="183">
        <f t="shared" si="143"/>
        <v>74764.958829659969</v>
      </c>
      <c r="Y243" s="195">
        <f t="shared" si="148"/>
        <v>315760.36496731004</v>
      </c>
      <c r="Z243" s="195">
        <f t="shared" si="144"/>
        <v>293601.09486571001</v>
      </c>
      <c r="AA243" s="195">
        <f t="shared" si="144"/>
        <v>89242.22893125999</v>
      </c>
      <c r="AB243" s="183">
        <f t="shared" si="144"/>
        <v>67082.958829659969</v>
      </c>
      <c r="AC243" s="101"/>
      <c r="AD243" s="184">
        <f t="shared" si="149"/>
        <v>-112163.63503268996</v>
      </c>
      <c r="AE243" s="183">
        <f t="shared" si="145"/>
        <v>-8070.9051342899911</v>
      </c>
      <c r="AF243" s="184">
        <f t="shared" si="145"/>
        <v>-299061.77106874</v>
      </c>
      <c r="AG243" s="184">
        <f t="shared" si="145"/>
        <v>-194969.04117034003</v>
      </c>
    </row>
    <row r="244" spans="1:33" ht="28.8" x14ac:dyDescent="0.3">
      <c r="M244" s="222" t="s">
        <v>928</v>
      </c>
      <c r="O244" s="195">
        <f t="shared" ref="O244:R246" si="155">O87*(O134+O138)</f>
        <v>365707.02217197197</v>
      </c>
      <c r="P244" s="195">
        <f t="shared" si="155"/>
        <v>332213.72629139596</v>
      </c>
      <c r="Q244" s="195">
        <f t="shared" si="155"/>
        <v>123883.88292057198</v>
      </c>
      <c r="R244" s="183">
        <f t="shared" si="155"/>
        <v>90390.587039995982</v>
      </c>
      <c r="T244" s="195">
        <f t="shared" si="147"/>
        <v>349285.02217197197</v>
      </c>
      <c r="U244" s="195">
        <f t="shared" si="143"/>
        <v>319891.72629139596</v>
      </c>
      <c r="V244" s="195">
        <f t="shared" si="143"/>
        <v>108748.88292057198</v>
      </c>
      <c r="W244" s="183">
        <f t="shared" si="143"/>
        <v>79354.587039995982</v>
      </c>
      <c r="Y244" s="195">
        <f t="shared" si="148"/>
        <v>335141.02217197197</v>
      </c>
      <c r="Z244" s="195">
        <f t="shared" si="144"/>
        <v>310665.72629139596</v>
      </c>
      <c r="AA244" s="195">
        <f t="shared" si="144"/>
        <v>96147.882920571981</v>
      </c>
      <c r="AB244" s="183">
        <f t="shared" si="144"/>
        <v>71672.587039995982</v>
      </c>
      <c r="AC244" s="101"/>
      <c r="AD244" s="184">
        <f t="shared" si="149"/>
        <v>-92782.97782802803</v>
      </c>
      <c r="AE244" s="183">
        <f t="shared" si="145"/>
        <v>8993.7262913959567</v>
      </c>
      <c r="AF244" s="184">
        <f t="shared" si="145"/>
        <v>-292156.11707942805</v>
      </c>
      <c r="AG244" s="184">
        <f t="shared" si="145"/>
        <v>-190379.412960004</v>
      </c>
    </row>
    <row r="245" spans="1:33" x14ac:dyDescent="0.3">
      <c r="M245" s="222"/>
      <c r="O245" s="195">
        <f t="shared" si="155"/>
        <v>376977.61974637542</v>
      </c>
      <c r="P245" s="195">
        <f t="shared" si="155"/>
        <v>342137.46579741029</v>
      </c>
      <c r="Q245" s="195">
        <f t="shared" si="155"/>
        <v>127899.78631743343</v>
      </c>
      <c r="R245" s="183">
        <f t="shared" si="155"/>
        <v>93059.632368468301</v>
      </c>
      <c r="T245" s="195">
        <f t="shared" si="147"/>
        <v>360555.61974637542</v>
      </c>
      <c r="U245" s="195">
        <f t="shared" si="143"/>
        <v>329815.46579741029</v>
      </c>
      <c r="V245" s="195">
        <f t="shared" si="143"/>
        <v>112764.78631743343</v>
      </c>
      <c r="W245" s="183">
        <f t="shared" si="143"/>
        <v>82023.632368468301</v>
      </c>
      <c r="Y245" s="195">
        <f t="shared" si="148"/>
        <v>346411.61974637542</v>
      </c>
      <c r="Z245" s="195">
        <f t="shared" si="144"/>
        <v>320589.46579741029</v>
      </c>
      <c r="AA245" s="195">
        <f t="shared" si="144"/>
        <v>100163.78631743343</v>
      </c>
      <c r="AB245" s="183">
        <f t="shared" si="144"/>
        <v>74341.632368468301</v>
      </c>
      <c r="AC245" s="101"/>
      <c r="AD245" s="184">
        <f t="shared" si="149"/>
        <v>-81512.380253624578</v>
      </c>
      <c r="AE245" s="183">
        <f t="shared" si="145"/>
        <v>18917.465797410288</v>
      </c>
      <c r="AF245" s="184">
        <f t="shared" si="145"/>
        <v>-288140.21368256654</v>
      </c>
      <c r="AG245" s="184">
        <f t="shared" si="145"/>
        <v>-187710.3676315317</v>
      </c>
    </row>
    <row r="246" spans="1:33" x14ac:dyDescent="0.3">
      <c r="M246" s="111"/>
      <c r="N246" s="8"/>
      <c r="O246" s="196">
        <f t="shared" si="155"/>
        <v>380649.80704072333</v>
      </c>
      <c r="P246" s="196">
        <f t="shared" si="155"/>
        <v>345370.81965339114</v>
      </c>
      <c r="Q246" s="196">
        <f t="shared" si="155"/>
        <v>129208.24838716214</v>
      </c>
      <c r="R246" s="193">
        <f t="shared" si="155"/>
        <v>93929.260999829814</v>
      </c>
      <c r="T246" s="196">
        <f t="shared" si="147"/>
        <v>364227.80704072333</v>
      </c>
      <c r="U246" s="196">
        <f t="shared" si="143"/>
        <v>333048.81965339114</v>
      </c>
      <c r="V246" s="196">
        <f t="shared" si="143"/>
        <v>114073.24838716214</v>
      </c>
      <c r="W246" s="193">
        <f t="shared" si="143"/>
        <v>82893.260999829814</v>
      </c>
      <c r="Y246" s="196">
        <f t="shared" si="148"/>
        <v>350083.80704072333</v>
      </c>
      <c r="Z246" s="196">
        <f t="shared" si="144"/>
        <v>323822.81965339114</v>
      </c>
      <c r="AA246" s="196">
        <f t="shared" si="144"/>
        <v>101472.24838716214</v>
      </c>
      <c r="AB246" s="193">
        <f t="shared" si="144"/>
        <v>75211.260999829814</v>
      </c>
      <c r="AC246" s="101"/>
      <c r="AD246" s="197">
        <f t="shared" si="149"/>
        <v>-77840.192959276668</v>
      </c>
      <c r="AE246" s="193">
        <f t="shared" si="145"/>
        <v>22150.81965339114</v>
      </c>
      <c r="AF246" s="197">
        <f t="shared" si="145"/>
        <v>-286831.75161283789</v>
      </c>
      <c r="AG246" s="197">
        <f t="shared" si="145"/>
        <v>-186840.7390001702</v>
      </c>
    </row>
    <row r="247" spans="1:33" x14ac:dyDescent="0.3">
      <c r="M247" s="237"/>
      <c r="N247" s="207"/>
      <c r="O247" s="183">
        <f>O90*(O133+O137)</f>
        <v>52562.010701655003</v>
      </c>
      <c r="P247" s="183">
        <f t="shared" ref="P247:R247" si="156">P90*(P133+P137)</f>
        <v>47830.231170855004</v>
      </c>
      <c r="Q247" s="183">
        <f t="shared" si="156"/>
        <v>17753.805493629996</v>
      </c>
      <c r="R247" s="183">
        <f t="shared" si="156"/>
        <v>13022.025962830001</v>
      </c>
      <c r="T247" s="183">
        <f t="shared" si="147"/>
        <v>36140.010701655003</v>
      </c>
      <c r="U247" s="183">
        <f t="shared" si="147"/>
        <v>35508.231170855004</v>
      </c>
      <c r="V247" s="184">
        <f t="shared" si="147"/>
        <v>2618.8054936299959</v>
      </c>
      <c r="W247" s="184">
        <f t="shared" si="147"/>
        <v>1986.0259628300009</v>
      </c>
      <c r="Y247" s="183">
        <f t="shared" si="148"/>
        <v>21996.010701655003</v>
      </c>
      <c r="Z247" s="183">
        <f t="shared" si="148"/>
        <v>26282.231170855004</v>
      </c>
      <c r="AA247" s="184">
        <f t="shared" si="148"/>
        <v>-9982.1945063700041</v>
      </c>
      <c r="AB247" s="184">
        <f t="shared" si="148"/>
        <v>-5695.9740371699991</v>
      </c>
      <c r="AC247" s="101"/>
      <c r="AD247" s="184">
        <f t="shared" si="149"/>
        <v>-405927.989298345</v>
      </c>
      <c r="AE247" s="184">
        <f t="shared" si="149"/>
        <v>-275389.768829145</v>
      </c>
      <c r="AF247" s="184">
        <f t="shared" si="149"/>
        <v>-398286.19450637</v>
      </c>
      <c r="AG247" s="184">
        <f t="shared" si="149"/>
        <v>-267747.97403717</v>
      </c>
    </row>
    <row r="248" spans="1:33" ht="28.8" x14ac:dyDescent="0.3">
      <c r="M248" s="222" t="s">
        <v>929</v>
      </c>
      <c r="O248" s="183">
        <f t="shared" ref="O248:R250" si="157">O91*(O134+O138)</f>
        <v>55503.416307585998</v>
      </c>
      <c r="P248" s="183">
        <f t="shared" si="157"/>
        <v>50420.133154498006</v>
      </c>
      <c r="Q248" s="183">
        <f t="shared" si="157"/>
        <v>18801.877761885993</v>
      </c>
      <c r="R248" s="183">
        <f t="shared" si="157"/>
        <v>13718.594608798001</v>
      </c>
      <c r="T248" s="183">
        <f t="shared" si="147"/>
        <v>39081.416307585998</v>
      </c>
      <c r="U248" s="183">
        <f t="shared" si="147"/>
        <v>38098.133154498006</v>
      </c>
      <c r="V248" s="184">
        <f t="shared" si="147"/>
        <v>3666.8777618859931</v>
      </c>
      <c r="W248" s="184">
        <f t="shared" si="147"/>
        <v>2682.594608798001</v>
      </c>
      <c r="Y248" s="183">
        <f t="shared" si="148"/>
        <v>24937.416307585998</v>
      </c>
      <c r="Z248" s="183">
        <f t="shared" si="148"/>
        <v>28872.133154498006</v>
      </c>
      <c r="AA248" s="184">
        <f t="shared" si="148"/>
        <v>-8934.1222381140069</v>
      </c>
      <c r="AB248" s="184">
        <f t="shared" si="148"/>
        <v>-4999.405391201999</v>
      </c>
      <c r="AC248" s="101"/>
      <c r="AD248" s="184">
        <f t="shared" si="149"/>
        <v>-402986.58369241399</v>
      </c>
      <c r="AE248" s="184">
        <f t="shared" si="149"/>
        <v>-272799.86684550199</v>
      </c>
      <c r="AF248" s="184">
        <f t="shared" si="149"/>
        <v>-397238.12223811401</v>
      </c>
      <c r="AG248" s="184">
        <f t="shared" si="149"/>
        <v>-267051.40539120202</v>
      </c>
    </row>
    <row r="249" spans="1:33" x14ac:dyDescent="0.3">
      <c r="A249" s="145"/>
      <c r="B249" s="145"/>
      <c r="C249" s="145"/>
      <c r="D249" s="145"/>
      <c r="E249" s="163"/>
      <c r="F249" s="181"/>
      <c r="G249" s="163"/>
      <c r="M249" s="222"/>
      <c r="O249" s="183">
        <f t="shared" si="157"/>
        <v>57213.95679841972</v>
      </c>
      <c r="P249" s="183">
        <f t="shared" si="157"/>
        <v>51926.260769601162</v>
      </c>
      <c r="Q249" s="183">
        <f t="shared" si="157"/>
        <v>19411.372096348718</v>
      </c>
      <c r="R249" s="183">
        <f t="shared" si="157"/>
        <v>14123.676067530163</v>
      </c>
      <c r="T249" s="183">
        <f t="shared" si="147"/>
        <v>40791.95679841972</v>
      </c>
      <c r="U249" s="183">
        <f t="shared" si="147"/>
        <v>39604.260769601162</v>
      </c>
      <c r="V249" s="184">
        <f t="shared" si="147"/>
        <v>4276.3720963487176</v>
      </c>
      <c r="W249" s="184">
        <f t="shared" si="147"/>
        <v>3087.676067530163</v>
      </c>
      <c r="Y249" s="183">
        <f t="shared" si="148"/>
        <v>26647.95679841972</v>
      </c>
      <c r="Z249" s="183">
        <f t="shared" si="148"/>
        <v>30378.260769601162</v>
      </c>
      <c r="AA249" s="184">
        <f t="shared" si="148"/>
        <v>-8324.6279036512824</v>
      </c>
      <c r="AB249" s="184">
        <f t="shared" si="148"/>
        <v>-4594.323932469837</v>
      </c>
      <c r="AC249" s="101"/>
      <c r="AD249" s="184">
        <f t="shared" si="149"/>
        <v>-401276.04320158029</v>
      </c>
      <c r="AE249" s="184">
        <f t="shared" si="149"/>
        <v>-271293.73923039885</v>
      </c>
      <c r="AF249" s="184">
        <f t="shared" si="149"/>
        <v>-396628.62790365127</v>
      </c>
      <c r="AG249" s="184">
        <f t="shared" si="149"/>
        <v>-266646.32393246982</v>
      </c>
    </row>
    <row r="250" spans="1:33" x14ac:dyDescent="0.3">
      <c r="A250" s="146"/>
      <c r="B250" s="145"/>
      <c r="C250" s="145"/>
      <c r="D250" s="145"/>
      <c r="E250" s="345"/>
      <c r="F250" s="211"/>
      <c r="G250" s="211"/>
      <c r="M250" s="111"/>
      <c r="N250" s="8"/>
      <c r="O250" s="193">
        <f t="shared" si="157"/>
        <v>57771.285282152734</v>
      </c>
      <c r="P250" s="193">
        <f t="shared" si="157"/>
        <v>52416.987428532659</v>
      </c>
      <c r="Q250" s="193">
        <f t="shared" si="157"/>
        <v>19609.957604900115</v>
      </c>
      <c r="R250" s="193">
        <f t="shared" si="157"/>
        <v>14255.659751280036</v>
      </c>
      <c r="T250" s="193">
        <f t="shared" si="147"/>
        <v>41349.285282152734</v>
      </c>
      <c r="U250" s="193">
        <f t="shared" si="147"/>
        <v>40094.987428532659</v>
      </c>
      <c r="V250" s="197">
        <f t="shared" si="147"/>
        <v>4474.9576049001153</v>
      </c>
      <c r="W250" s="197">
        <f t="shared" si="147"/>
        <v>3219.6597512800363</v>
      </c>
      <c r="Y250" s="193">
        <f t="shared" si="148"/>
        <v>27205.285282152734</v>
      </c>
      <c r="Z250" s="193">
        <f t="shared" si="148"/>
        <v>30868.987428532659</v>
      </c>
      <c r="AA250" s="197">
        <f t="shared" si="148"/>
        <v>-8126.0423950998847</v>
      </c>
      <c r="AB250" s="197">
        <f t="shared" si="148"/>
        <v>-4462.3402487199637</v>
      </c>
      <c r="AC250" s="101"/>
      <c r="AD250" s="197">
        <f t="shared" si="149"/>
        <v>-400718.7147178473</v>
      </c>
      <c r="AE250" s="197">
        <f t="shared" si="149"/>
        <v>-270803.01257146732</v>
      </c>
      <c r="AF250" s="197">
        <f t="shared" si="149"/>
        <v>-396430.04239509988</v>
      </c>
      <c r="AG250" s="197">
        <f t="shared" si="149"/>
        <v>-266514.34024871996</v>
      </c>
    </row>
    <row r="251" spans="1:33" x14ac:dyDescent="0.3">
      <c r="A251" s="146"/>
      <c r="B251" s="145"/>
      <c r="C251" s="145"/>
      <c r="D251" s="145"/>
      <c r="E251" s="345"/>
      <c r="F251" s="211"/>
      <c r="G251" s="211"/>
      <c r="M251" s="237"/>
      <c r="N251" s="207"/>
      <c r="O251" s="184">
        <f>O94*(O133+O137)</f>
        <v>301.50292945500007</v>
      </c>
      <c r="P251" s="184">
        <f t="shared" ref="P251:R251" si="158">P94*(P133+P137)</f>
        <v>274.36079065500002</v>
      </c>
      <c r="Q251" s="184">
        <f t="shared" si="158"/>
        <v>101.83827243000002</v>
      </c>
      <c r="R251" s="184">
        <f t="shared" si="158"/>
        <v>74.696133629999991</v>
      </c>
      <c r="T251" s="184">
        <f t="shared" si="147"/>
        <v>-16120.497070545</v>
      </c>
      <c r="U251" s="184">
        <f t="shared" si="147"/>
        <v>-12047.639209344999</v>
      </c>
      <c r="V251" s="184">
        <f t="shared" si="147"/>
        <v>-15033.161727569999</v>
      </c>
      <c r="W251" s="184">
        <f t="shared" si="147"/>
        <v>-10961.303866370001</v>
      </c>
      <c r="Y251" s="184">
        <f t="shared" si="148"/>
        <v>-30264.497070545</v>
      </c>
      <c r="Z251" s="184">
        <f t="shared" si="148"/>
        <v>-21273.639209345001</v>
      </c>
      <c r="AA251" s="184">
        <f t="shared" si="148"/>
        <v>-27634.161727570001</v>
      </c>
      <c r="AB251" s="184">
        <f t="shared" si="148"/>
        <v>-18643.303866369999</v>
      </c>
      <c r="AC251" s="101"/>
      <c r="AD251" s="184">
        <f t="shared" si="149"/>
        <v>-458188.49707054498</v>
      </c>
      <c r="AE251" s="184">
        <f t="shared" si="149"/>
        <v>-322945.63920934498</v>
      </c>
      <c r="AF251" s="184">
        <f t="shared" si="149"/>
        <v>-415938.16172757</v>
      </c>
      <c r="AG251" s="184">
        <f t="shared" si="149"/>
        <v>-280695.30386637</v>
      </c>
    </row>
    <row r="252" spans="1:33" x14ac:dyDescent="0.3">
      <c r="A252" s="145"/>
      <c r="B252" s="145"/>
      <c r="C252" s="145"/>
      <c r="D252" s="145"/>
      <c r="E252" s="345"/>
      <c r="F252" s="211"/>
      <c r="G252" s="211"/>
      <c r="M252" s="222" t="s">
        <v>827</v>
      </c>
      <c r="O252" s="184">
        <f t="shared" ref="O252:R254" si="159">O95*(O134+O138)</f>
        <v>318.37523694599997</v>
      </c>
      <c r="P252" s="184">
        <f t="shared" si="159"/>
        <v>289.21682497799998</v>
      </c>
      <c r="Q252" s="184">
        <f t="shared" si="159"/>
        <v>107.850159246</v>
      </c>
      <c r="R252" s="184">
        <f t="shared" si="159"/>
        <v>78.691747277999994</v>
      </c>
      <c r="T252" s="184">
        <f t="shared" si="147"/>
        <v>-16103.624763054</v>
      </c>
      <c r="U252" s="184">
        <f t="shared" si="147"/>
        <v>-12032.783175021999</v>
      </c>
      <c r="V252" s="184">
        <f t="shared" si="147"/>
        <v>-15027.149840754</v>
      </c>
      <c r="W252" s="184">
        <f t="shared" si="147"/>
        <v>-10957.308252721999</v>
      </c>
      <c r="Y252" s="184">
        <f t="shared" si="148"/>
        <v>-30247.624763053998</v>
      </c>
      <c r="Z252" s="184">
        <f t="shared" si="148"/>
        <v>-21258.783175021999</v>
      </c>
      <c r="AA252" s="184">
        <f t="shared" si="148"/>
        <v>-27628.149840753998</v>
      </c>
      <c r="AB252" s="184">
        <f t="shared" si="148"/>
        <v>-18639.308252721999</v>
      </c>
      <c r="AC252" s="101"/>
      <c r="AD252" s="184">
        <f t="shared" si="149"/>
        <v>-458171.62476305402</v>
      </c>
      <c r="AE252" s="184">
        <f t="shared" si="149"/>
        <v>-322930.78317502199</v>
      </c>
      <c r="AF252" s="184">
        <f t="shared" si="149"/>
        <v>-415932.14984075399</v>
      </c>
      <c r="AG252" s="184">
        <f t="shared" si="149"/>
        <v>-280691.30825272202</v>
      </c>
    </row>
    <row r="253" spans="1:33" x14ac:dyDescent="0.3">
      <c r="A253" s="145"/>
      <c r="B253" s="145"/>
      <c r="C253" s="145"/>
      <c r="D253" s="145"/>
      <c r="E253" s="345"/>
      <c r="F253" s="211"/>
      <c r="G253" s="211"/>
      <c r="M253" s="221" t="s">
        <v>925</v>
      </c>
      <c r="O253" s="184">
        <f t="shared" si="159"/>
        <v>328.18713268692005</v>
      </c>
      <c r="P253" s="184">
        <f t="shared" si="159"/>
        <v>297.85618032276</v>
      </c>
      <c r="Q253" s="184">
        <f t="shared" si="159"/>
        <v>111.34630265592</v>
      </c>
      <c r="R253" s="184">
        <f t="shared" si="159"/>
        <v>81.015350291760001</v>
      </c>
      <c r="T253" s="184">
        <f t="shared" si="147"/>
        <v>-16093.81286731308</v>
      </c>
      <c r="U253" s="184">
        <f t="shared" si="147"/>
        <v>-12024.14381967724</v>
      </c>
      <c r="V253" s="184">
        <f t="shared" si="147"/>
        <v>-15023.65369734408</v>
      </c>
      <c r="W253" s="184">
        <f t="shared" si="147"/>
        <v>-10954.98464970824</v>
      </c>
      <c r="Y253" s="184">
        <f t="shared" si="148"/>
        <v>-30237.812867313081</v>
      </c>
      <c r="Z253" s="184">
        <f t="shared" si="148"/>
        <v>-21250.14381967724</v>
      </c>
      <c r="AA253" s="184">
        <f t="shared" si="148"/>
        <v>-27624.653697344082</v>
      </c>
      <c r="AB253" s="184">
        <f t="shared" si="148"/>
        <v>-18636.98464970824</v>
      </c>
      <c r="AC253" s="101"/>
      <c r="AD253" s="184">
        <f t="shared" si="149"/>
        <v>-458161.8128673131</v>
      </c>
      <c r="AE253" s="184">
        <f t="shared" si="149"/>
        <v>-322922.14381967724</v>
      </c>
      <c r="AF253" s="184">
        <f t="shared" si="149"/>
        <v>-415928.65369734407</v>
      </c>
      <c r="AG253" s="184">
        <f t="shared" si="149"/>
        <v>-280688.98464970826</v>
      </c>
    </row>
    <row r="254" spans="1:33" x14ac:dyDescent="0.3">
      <c r="A254" s="145"/>
      <c r="B254" s="145"/>
      <c r="C254" s="145"/>
      <c r="D254" s="145"/>
      <c r="E254" s="345"/>
      <c r="F254" s="211"/>
      <c r="G254" s="211"/>
      <c r="M254" s="8"/>
      <c r="N254" s="8"/>
      <c r="O254" s="184">
        <f t="shared" si="159"/>
        <v>331.38404559552242</v>
      </c>
      <c r="P254" s="184">
        <f t="shared" si="159"/>
        <v>300.67105599540719</v>
      </c>
      <c r="Q254" s="184">
        <f t="shared" si="159"/>
        <v>112.48541647170242</v>
      </c>
      <c r="R254" s="184">
        <f t="shared" si="159"/>
        <v>81.7724268715872</v>
      </c>
      <c r="T254" s="197">
        <f t="shared" si="147"/>
        <v>-16090.615954404477</v>
      </c>
      <c r="U254" s="197">
        <f t="shared" si="147"/>
        <v>-12021.328944004592</v>
      </c>
      <c r="V254" s="197">
        <f t="shared" si="147"/>
        <v>-15022.514583528298</v>
      </c>
      <c r="W254" s="197">
        <f t="shared" si="147"/>
        <v>-10954.227573128413</v>
      </c>
      <c r="Y254" s="184">
        <f t="shared" si="148"/>
        <v>-30234.615954404479</v>
      </c>
      <c r="Z254" s="184">
        <f t="shared" si="148"/>
        <v>-21247.328944004592</v>
      </c>
      <c r="AA254" s="184">
        <f t="shared" si="148"/>
        <v>-27623.514583528296</v>
      </c>
      <c r="AB254" s="184">
        <f t="shared" si="148"/>
        <v>-18636.227573128413</v>
      </c>
      <c r="AC254" s="101"/>
      <c r="AD254" s="184">
        <f t="shared" si="149"/>
        <v>-458158.61595440446</v>
      </c>
      <c r="AE254" s="184">
        <f t="shared" si="149"/>
        <v>-322919.32894400461</v>
      </c>
      <c r="AF254" s="184">
        <f t="shared" si="149"/>
        <v>-415927.51458352827</v>
      </c>
      <c r="AG254" s="184">
        <f t="shared" si="149"/>
        <v>-280688.22757312842</v>
      </c>
    </row>
    <row r="255" spans="1:33" x14ac:dyDescent="0.3">
      <c r="A255" s="145"/>
      <c r="B255" s="145"/>
      <c r="C255" s="145"/>
      <c r="D255" s="145"/>
      <c r="E255" s="145"/>
      <c r="F255" s="211"/>
      <c r="G255" s="211"/>
      <c r="O255" s="101"/>
    </row>
    <row r="256" spans="1:33" x14ac:dyDescent="0.3">
      <c r="A256" s="146"/>
      <c r="B256" s="145"/>
      <c r="C256" s="145"/>
      <c r="D256" s="145"/>
      <c r="E256" s="345"/>
      <c r="F256" s="211"/>
      <c r="G256" s="211"/>
    </row>
    <row r="257" spans="1:9" x14ac:dyDescent="0.3">
      <c r="A257" s="145"/>
      <c r="B257" s="145"/>
      <c r="C257" s="145"/>
      <c r="D257" s="145"/>
      <c r="E257" s="345"/>
      <c r="F257" s="211"/>
      <c r="G257" s="211"/>
    </row>
    <row r="258" spans="1:9" x14ac:dyDescent="0.3">
      <c r="A258" s="145"/>
      <c r="B258" s="145"/>
      <c r="C258" s="145"/>
      <c r="D258" s="145"/>
      <c r="E258" s="345"/>
      <c r="F258" s="211"/>
      <c r="G258" s="211"/>
    </row>
    <row r="259" spans="1:9" x14ac:dyDescent="0.3">
      <c r="A259" s="145"/>
      <c r="B259" s="145"/>
      <c r="C259" s="145"/>
      <c r="D259" s="145"/>
      <c r="E259" s="345"/>
      <c r="F259" s="211"/>
      <c r="G259" s="211"/>
    </row>
    <row r="260" spans="1:9" x14ac:dyDescent="0.3">
      <c r="A260" s="145"/>
      <c r="B260" s="145"/>
      <c r="C260" s="145"/>
      <c r="D260" s="145"/>
      <c r="E260" s="145"/>
      <c r="F260" s="211"/>
      <c r="G260" s="211"/>
    </row>
    <row r="261" spans="1:9" x14ac:dyDescent="0.3">
      <c r="A261" s="146"/>
      <c r="B261" s="145"/>
      <c r="C261" s="145"/>
      <c r="D261" s="145"/>
      <c r="E261" s="345"/>
      <c r="F261" s="211"/>
      <c r="G261" s="211"/>
    </row>
    <row r="262" spans="1:9" x14ac:dyDescent="0.3">
      <c r="A262" s="145"/>
      <c r="B262" s="145"/>
      <c r="C262" s="145"/>
      <c r="D262" s="145"/>
      <c r="E262" s="345"/>
      <c r="F262" s="211"/>
      <c r="G262" s="211"/>
    </row>
    <row r="263" spans="1:9" x14ac:dyDescent="0.3">
      <c r="A263" s="145"/>
      <c r="B263" s="145"/>
      <c r="C263" s="145"/>
      <c r="D263" s="145"/>
      <c r="E263" s="345"/>
      <c r="F263" s="211"/>
      <c r="G263" s="211"/>
    </row>
    <row r="264" spans="1:9" x14ac:dyDescent="0.3">
      <c r="A264" s="145"/>
      <c r="B264" s="145"/>
      <c r="C264" s="145"/>
      <c r="D264" s="145"/>
      <c r="E264" s="345"/>
      <c r="F264" s="211"/>
      <c r="G264" s="211"/>
    </row>
    <row r="268" spans="1:9" s="222" customFormat="1" x14ac:dyDescent="0.3">
      <c r="A268" s="79"/>
      <c r="B268" s="79"/>
      <c r="C268" s="79"/>
      <c r="D268" s="79"/>
      <c r="E268" s="181"/>
      <c r="F268" s="181"/>
      <c r="G268" s="181"/>
      <c r="H268" s="181"/>
      <c r="I268" s="181"/>
    </row>
    <row r="269" spans="1:9" x14ac:dyDescent="0.3">
      <c r="A269" s="146"/>
      <c r="B269" s="145"/>
      <c r="C269" s="145"/>
      <c r="D269" s="145"/>
      <c r="E269" s="345"/>
      <c r="F269" s="346"/>
      <c r="G269" s="347"/>
      <c r="H269" s="347"/>
      <c r="I269" s="348"/>
    </row>
    <row r="270" spans="1:9" x14ac:dyDescent="0.3">
      <c r="A270" s="145"/>
      <c r="B270" s="145"/>
      <c r="C270" s="145"/>
      <c r="D270" s="145"/>
      <c r="E270" s="345"/>
      <c r="F270" s="346"/>
      <c r="G270" s="347"/>
      <c r="H270" s="347"/>
      <c r="I270" s="348"/>
    </row>
    <row r="271" spans="1:9" x14ac:dyDescent="0.3">
      <c r="A271" s="145"/>
      <c r="B271" s="145"/>
      <c r="C271" s="145"/>
      <c r="D271" s="145"/>
      <c r="E271" s="345"/>
      <c r="F271" s="346"/>
      <c r="G271" s="347"/>
      <c r="H271" s="347"/>
      <c r="I271" s="348"/>
    </row>
    <row r="272" spans="1:9" x14ac:dyDescent="0.3">
      <c r="A272" s="145"/>
      <c r="B272" s="145"/>
      <c r="C272" s="145"/>
      <c r="D272" s="145"/>
      <c r="E272" s="345"/>
      <c r="F272" s="346"/>
      <c r="G272" s="347"/>
      <c r="H272" s="347"/>
      <c r="I272" s="348"/>
    </row>
    <row r="273" spans="1:9" x14ac:dyDescent="0.3">
      <c r="A273" s="145"/>
      <c r="B273" s="145"/>
      <c r="C273" s="145"/>
      <c r="D273" s="145"/>
      <c r="E273" s="145"/>
      <c r="F273" s="349"/>
      <c r="G273" s="145"/>
      <c r="H273" s="145"/>
      <c r="I273" s="145"/>
    </row>
    <row r="274" spans="1:9" x14ac:dyDescent="0.3">
      <c r="A274" s="146"/>
      <c r="B274" s="145"/>
      <c r="C274" s="145"/>
      <c r="D274" s="145"/>
      <c r="E274" s="345"/>
      <c r="F274" s="346"/>
      <c r="G274" s="347"/>
      <c r="H274" s="347"/>
      <c r="I274" s="348"/>
    </row>
    <row r="275" spans="1:9" x14ac:dyDescent="0.3">
      <c r="A275" s="145"/>
      <c r="B275" s="145"/>
      <c r="C275" s="145"/>
      <c r="D275" s="145"/>
      <c r="E275" s="345"/>
      <c r="F275" s="346"/>
      <c r="G275" s="347"/>
      <c r="H275" s="347"/>
      <c r="I275" s="348"/>
    </row>
    <row r="276" spans="1:9" x14ac:dyDescent="0.3">
      <c r="A276" s="145"/>
      <c r="B276" s="145"/>
      <c r="C276" s="145"/>
      <c r="D276" s="145"/>
      <c r="E276" s="345"/>
      <c r="F276" s="346"/>
      <c r="G276" s="347"/>
      <c r="H276" s="347"/>
      <c r="I276" s="348"/>
    </row>
    <row r="277" spans="1:9" x14ac:dyDescent="0.3">
      <c r="A277" s="145"/>
      <c r="B277" s="145"/>
      <c r="C277" s="145"/>
      <c r="D277" s="145"/>
      <c r="E277" s="345"/>
      <c r="F277" s="346"/>
      <c r="G277" s="347"/>
      <c r="H277" s="347"/>
      <c r="I277" s="348"/>
    </row>
    <row r="278" spans="1:9" x14ac:dyDescent="0.3">
      <c r="A278" s="145"/>
      <c r="B278" s="145"/>
      <c r="C278" s="145"/>
      <c r="D278" s="145"/>
      <c r="E278" s="145"/>
      <c r="F278" s="349"/>
      <c r="G278" s="145"/>
      <c r="H278" s="145"/>
      <c r="I278" s="145"/>
    </row>
    <row r="279" spans="1:9" x14ac:dyDescent="0.3">
      <c r="A279" s="146"/>
      <c r="B279" s="145"/>
      <c r="C279" s="145"/>
      <c r="D279" s="145"/>
      <c r="E279" s="345"/>
      <c r="F279" s="346"/>
      <c r="G279" s="347"/>
      <c r="H279" s="347"/>
      <c r="I279" s="348"/>
    </row>
    <row r="280" spans="1:9" x14ac:dyDescent="0.3">
      <c r="A280" s="145"/>
      <c r="B280" s="145"/>
      <c r="C280" s="145"/>
      <c r="D280" s="145"/>
      <c r="E280" s="345"/>
      <c r="F280" s="346"/>
      <c r="G280" s="347"/>
      <c r="H280" s="347"/>
      <c r="I280" s="348"/>
    </row>
    <row r="281" spans="1:9" x14ac:dyDescent="0.3">
      <c r="A281" s="145"/>
      <c r="B281" s="145"/>
      <c r="C281" s="145"/>
      <c r="D281" s="145"/>
      <c r="E281" s="345"/>
      <c r="F281" s="346"/>
      <c r="G281" s="347"/>
      <c r="H281" s="347"/>
      <c r="I281" s="348"/>
    </row>
    <row r="282" spans="1:9" x14ac:dyDescent="0.3">
      <c r="A282" s="145"/>
      <c r="B282" s="145"/>
      <c r="C282" s="145"/>
      <c r="D282" s="145"/>
      <c r="E282" s="345"/>
      <c r="F282" s="346"/>
      <c r="G282" s="347"/>
      <c r="H282" s="347"/>
      <c r="I282" s="348"/>
    </row>
    <row r="283" spans="1:9" x14ac:dyDescent="0.3">
      <c r="A283" s="145"/>
      <c r="B283" s="145"/>
      <c r="C283" s="145"/>
      <c r="D283" s="145"/>
      <c r="E283" s="145"/>
      <c r="F283" s="145"/>
      <c r="G283" s="145"/>
      <c r="H283" s="145"/>
      <c r="I283" s="145"/>
    </row>
    <row r="284" spans="1:9" x14ac:dyDescent="0.3">
      <c r="A284" s="145"/>
      <c r="B284" s="145"/>
      <c r="C284" s="145"/>
      <c r="D284" s="145"/>
      <c r="E284" s="145"/>
      <c r="F284" s="145"/>
      <c r="G284" s="145"/>
      <c r="H284" s="145"/>
      <c r="I284" s="145"/>
    </row>
    <row r="285" spans="1:9" x14ac:dyDescent="0.3">
      <c r="A285" s="145"/>
      <c r="B285" s="145"/>
      <c r="C285" s="145"/>
      <c r="D285" s="145"/>
      <c r="E285" s="145"/>
      <c r="F285" s="145"/>
      <c r="G285" s="145"/>
      <c r="H285" s="145"/>
      <c r="I285" s="145"/>
    </row>
    <row r="286" spans="1:9" x14ac:dyDescent="0.3">
      <c r="A286" s="79"/>
      <c r="B286" s="79"/>
      <c r="C286" s="79"/>
      <c r="D286" s="79"/>
      <c r="E286" s="181"/>
      <c r="F286" s="181"/>
      <c r="G286" s="181"/>
      <c r="H286" s="181"/>
      <c r="I286" s="181"/>
    </row>
    <row r="287" spans="1:9" x14ac:dyDescent="0.3">
      <c r="A287" s="146"/>
      <c r="B287" s="145"/>
      <c r="C287" s="145"/>
      <c r="D287" s="145"/>
      <c r="E287" s="345"/>
      <c r="F287" s="346"/>
      <c r="G287" s="347"/>
      <c r="H287" s="347"/>
      <c r="I287" s="348"/>
    </row>
    <row r="288" spans="1:9" x14ac:dyDescent="0.3">
      <c r="A288" s="145"/>
      <c r="B288" s="145"/>
      <c r="C288" s="145"/>
      <c r="D288" s="145"/>
      <c r="E288" s="345"/>
      <c r="F288" s="346"/>
      <c r="G288" s="347"/>
      <c r="H288" s="347"/>
      <c r="I288" s="348"/>
    </row>
    <row r="289" spans="1:9" x14ac:dyDescent="0.3">
      <c r="A289" s="145"/>
      <c r="B289" s="145"/>
      <c r="C289" s="145"/>
      <c r="D289" s="145"/>
      <c r="E289" s="345"/>
      <c r="F289" s="346"/>
      <c r="G289" s="347"/>
      <c r="H289" s="347"/>
      <c r="I289" s="348"/>
    </row>
    <row r="290" spans="1:9" x14ac:dyDescent="0.3">
      <c r="A290" s="145"/>
      <c r="B290" s="145"/>
      <c r="C290" s="145"/>
      <c r="D290" s="145"/>
      <c r="E290" s="345"/>
      <c r="F290" s="346"/>
      <c r="G290" s="347"/>
      <c r="H290" s="347"/>
      <c r="I290" s="348"/>
    </row>
    <row r="291" spans="1:9" x14ac:dyDescent="0.3">
      <c r="A291" s="145"/>
      <c r="B291" s="145"/>
      <c r="C291" s="145"/>
      <c r="D291" s="145"/>
      <c r="E291" s="145"/>
      <c r="F291" s="349"/>
      <c r="G291" s="145"/>
      <c r="H291" s="145"/>
      <c r="I291" s="145"/>
    </row>
    <row r="292" spans="1:9" x14ac:dyDescent="0.3">
      <c r="A292" s="146"/>
      <c r="B292" s="145"/>
      <c r="C292" s="145"/>
      <c r="D292" s="145"/>
      <c r="E292" s="345"/>
      <c r="F292" s="346"/>
      <c r="G292" s="347"/>
      <c r="H292" s="347"/>
      <c r="I292" s="348"/>
    </row>
    <row r="293" spans="1:9" x14ac:dyDescent="0.3">
      <c r="A293" s="145"/>
      <c r="B293" s="145"/>
      <c r="C293" s="145"/>
      <c r="D293" s="145"/>
      <c r="E293" s="345"/>
      <c r="F293" s="346"/>
      <c r="G293" s="347"/>
      <c r="H293" s="347"/>
      <c r="I293" s="348"/>
    </row>
    <row r="294" spans="1:9" x14ac:dyDescent="0.3">
      <c r="A294" s="145"/>
      <c r="B294" s="145"/>
      <c r="C294" s="145"/>
      <c r="D294" s="145"/>
      <c r="E294" s="345"/>
      <c r="F294" s="346"/>
      <c r="G294" s="347"/>
      <c r="H294" s="347"/>
      <c r="I294" s="348"/>
    </row>
    <row r="295" spans="1:9" x14ac:dyDescent="0.3">
      <c r="A295" s="145"/>
      <c r="B295" s="145"/>
      <c r="C295" s="145"/>
      <c r="D295" s="145"/>
      <c r="E295" s="345"/>
      <c r="F295" s="346"/>
      <c r="G295" s="347"/>
      <c r="H295" s="347"/>
      <c r="I295" s="348"/>
    </row>
    <row r="296" spans="1:9" x14ac:dyDescent="0.3">
      <c r="A296" s="145"/>
      <c r="B296" s="145"/>
      <c r="C296" s="145"/>
      <c r="D296" s="145"/>
      <c r="E296" s="145"/>
      <c r="F296" s="349"/>
      <c r="G296" s="145"/>
      <c r="H296" s="145"/>
      <c r="I296" s="145"/>
    </row>
    <row r="297" spans="1:9" x14ac:dyDescent="0.3">
      <c r="A297" s="146"/>
      <c r="B297" s="145"/>
      <c r="C297" s="145"/>
      <c r="D297" s="145"/>
      <c r="E297" s="345"/>
      <c r="F297" s="346"/>
      <c r="G297" s="347"/>
      <c r="H297" s="347"/>
      <c r="I297" s="348"/>
    </row>
    <row r="298" spans="1:9" x14ac:dyDescent="0.3">
      <c r="A298" s="145"/>
      <c r="B298" s="145"/>
      <c r="C298" s="145"/>
      <c r="D298" s="145"/>
      <c r="E298" s="345"/>
      <c r="F298" s="346"/>
      <c r="G298" s="347"/>
      <c r="H298" s="347"/>
      <c r="I298" s="348"/>
    </row>
    <row r="299" spans="1:9" x14ac:dyDescent="0.3">
      <c r="A299" s="145"/>
      <c r="B299" s="145"/>
      <c r="C299" s="145"/>
      <c r="D299" s="145"/>
      <c r="E299" s="345"/>
      <c r="F299" s="346"/>
      <c r="G299" s="347"/>
      <c r="H299" s="347"/>
      <c r="I299" s="348"/>
    </row>
    <row r="300" spans="1:9" x14ac:dyDescent="0.3">
      <c r="A300" s="145"/>
      <c r="B300" s="145"/>
      <c r="C300" s="145"/>
      <c r="D300" s="145"/>
      <c r="E300" s="345"/>
      <c r="F300" s="346"/>
      <c r="G300" s="347"/>
      <c r="H300" s="347"/>
      <c r="I300" s="348"/>
    </row>
  </sheetData>
  <mergeCells count="3">
    <mergeCell ref="E71:H71"/>
    <mergeCell ref="O72:R72"/>
    <mergeCell ref="O106:R106"/>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R79"/>
  <sheetViews>
    <sheetView topLeftCell="A35" workbookViewId="0">
      <selection activeCell="A48" sqref="A48:A49"/>
    </sheetView>
  </sheetViews>
  <sheetFormatPr defaultRowHeight="14.4" x14ac:dyDescent="0.3"/>
  <cols>
    <col min="1" max="1" width="16.6640625" customWidth="1"/>
    <col min="13" max="13" width="11.109375" customWidth="1"/>
    <col min="15" max="15" width="10.33203125" customWidth="1"/>
    <col min="18" max="18" width="12" bestFit="1" customWidth="1"/>
  </cols>
  <sheetData>
    <row r="2" spans="1:18" x14ac:dyDescent="0.3">
      <c r="A2" t="s">
        <v>724</v>
      </c>
    </row>
    <row r="5" spans="1:18" x14ac:dyDescent="0.3">
      <c r="A5" t="s">
        <v>0</v>
      </c>
    </row>
    <row r="7" spans="1:18" x14ac:dyDescent="0.3">
      <c r="A7" t="s">
        <v>1</v>
      </c>
    </row>
    <row r="8" spans="1:18" x14ac:dyDescent="0.3">
      <c r="A8" t="s">
        <v>2</v>
      </c>
    </row>
    <row r="9" spans="1:18" x14ac:dyDescent="0.3">
      <c r="A9" t="s">
        <v>3</v>
      </c>
    </row>
    <row r="11" spans="1:18" x14ac:dyDescent="0.3">
      <c r="B11" t="s">
        <v>11</v>
      </c>
    </row>
    <row r="12" spans="1:18" x14ac:dyDescent="0.3">
      <c r="A12" t="s">
        <v>12</v>
      </c>
      <c r="B12" t="s">
        <v>4</v>
      </c>
      <c r="C12" t="s">
        <v>5</v>
      </c>
      <c r="D12" t="s">
        <v>6</v>
      </c>
      <c r="F12" t="s">
        <v>7</v>
      </c>
      <c r="G12" t="s">
        <v>8</v>
      </c>
      <c r="H12" t="s">
        <v>9</v>
      </c>
      <c r="I12" t="s">
        <v>10</v>
      </c>
      <c r="J12" t="s">
        <v>20</v>
      </c>
    </row>
    <row r="13" spans="1:18" x14ac:dyDescent="0.3">
      <c r="A13" t="s">
        <v>13</v>
      </c>
      <c r="B13">
        <v>1</v>
      </c>
      <c r="C13">
        <v>0.59299999999999997</v>
      </c>
      <c r="D13">
        <v>0.26600000000000001</v>
      </c>
      <c r="F13">
        <v>0.105</v>
      </c>
      <c r="G13">
        <v>4.7E-2</v>
      </c>
      <c r="H13">
        <v>3.0000000000000001E-3</v>
      </c>
      <c r="I13">
        <v>1.4999999999999999E-4</v>
      </c>
    </row>
    <row r="14" spans="1:18" x14ac:dyDescent="0.3">
      <c r="A14">
        <v>2012</v>
      </c>
      <c r="B14" s="1">
        <v>9.1</v>
      </c>
      <c r="C14">
        <v>0.59</v>
      </c>
      <c r="D14">
        <v>0.26</v>
      </c>
      <c r="F14">
        <v>0.104</v>
      </c>
      <c r="G14">
        <v>4.5999999999999999E-2</v>
      </c>
      <c r="H14">
        <v>3.0000000000000001E-3</v>
      </c>
      <c r="I14">
        <v>1.4999999999999999E-4</v>
      </c>
      <c r="R14" s="178"/>
    </row>
    <row r="15" spans="1:18" x14ac:dyDescent="0.3">
      <c r="A15">
        <v>2013</v>
      </c>
      <c r="B15" s="1">
        <f>B14*1.0107</f>
        <v>9.1973699999999994</v>
      </c>
    </row>
    <row r="16" spans="1:18" x14ac:dyDescent="0.3">
      <c r="A16">
        <v>2014</v>
      </c>
      <c r="B16" s="1">
        <f t="shared" ref="B16:B22" si="0">B15*1.0107</f>
        <v>9.2957818589999981</v>
      </c>
    </row>
    <row r="17" spans="1:12" x14ac:dyDescent="0.3">
      <c r="A17">
        <v>2015</v>
      </c>
      <c r="B17" s="1">
        <f t="shared" si="0"/>
        <v>9.3952467248912974</v>
      </c>
    </row>
    <row r="18" spans="1:12" x14ac:dyDescent="0.3">
      <c r="A18">
        <v>2016</v>
      </c>
      <c r="B18" s="1">
        <f t="shared" si="0"/>
        <v>9.4957758648476336</v>
      </c>
    </row>
    <row r="19" spans="1:12" x14ac:dyDescent="0.3">
      <c r="A19">
        <v>2017</v>
      </c>
      <c r="B19" s="1">
        <f t="shared" si="0"/>
        <v>9.5973806666015022</v>
      </c>
      <c r="C19" s="1">
        <f>$B$19*C13</f>
        <v>5.6912467352946905</v>
      </c>
      <c r="D19" s="1">
        <f t="shared" ref="D19:I19" si="1">$B$19*D13</f>
        <v>2.5529032573159998</v>
      </c>
      <c r="E19" s="1"/>
      <c r="F19" s="1">
        <f t="shared" si="1"/>
        <v>1.0077249699931576</v>
      </c>
      <c r="G19" s="1">
        <f t="shared" si="1"/>
        <v>0.45107689133027062</v>
      </c>
      <c r="H19" s="1">
        <f t="shared" si="1"/>
        <v>2.8792141999804507E-2</v>
      </c>
      <c r="I19" s="6">
        <f t="shared" si="1"/>
        <v>1.4396070999902252E-3</v>
      </c>
    </row>
    <row r="20" spans="1:12" x14ac:dyDescent="0.3">
      <c r="A20">
        <v>2018</v>
      </c>
      <c r="B20" s="1">
        <f t="shared" si="0"/>
        <v>9.7000726397341381</v>
      </c>
    </row>
    <row r="21" spans="1:12" s="178" customFormat="1" x14ac:dyDescent="0.3">
      <c r="A21" s="178">
        <v>2019</v>
      </c>
      <c r="B21" s="1">
        <f t="shared" si="0"/>
        <v>9.8038634169792935</v>
      </c>
    </row>
    <row r="22" spans="1:12" x14ac:dyDescent="0.3">
      <c r="A22">
        <v>2020</v>
      </c>
      <c r="B22" s="1">
        <f t="shared" si="0"/>
        <v>9.9087647555409717</v>
      </c>
      <c r="C22" s="1">
        <f>$B22*C14</f>
        <v>5.8461712057691733</v>
      </c>
      <c r="D22" s="1">
        <f t="shared" ref="D22:I22" si="2">$B22*D14</f>
        <v>2.5762788364406526</v>
      </c>
      <c r="E22" s="1">
        <f t="shared" si="2"/>
        <v>0</v>
      </c>
      <c r="F22" s="1">
        <f t="shared" si="2"/>
        <v>1.030511534576261</v>
      </c>
      <c r="G22" s="1">
        <f t="shared" si="2"/>
        <v>0.45580317875488469</v>
      </c>
      <c r="H22" s="1">
        <f t="shared" si="2"/>
        <v>2.9726294266622915E-2</v>
      </c>
      <c r="I22" s="1">
        <f t="shared" si="2"/>
        <v>1.4863147133311455E-3</v>
      </c>
    </row>
    <row r="23" spans="1:12" x14ac:dyDescent="0.3">
      <c r="A23" t="s">
        <v>14</v>
      </c>
    </row>
    <row r="25" spans="1:12" x14ac:dyDescent="0.3">
      <c r="A25" t="s">
        <v>15</v>
      </c>
      <c r="B25" t="s">
        <v>16</v>
      </c>
      <c r="F25" t="s">
        <v>17</v>
      </c>
    </row>
    <row r="26" spans="1:12" x14ac:dyDescent="0.3">
      <c r="F26">
        <v>165</v>
      </c>
      <c r="G26">
        <v>330</v>
      </c>
      <c r="H26">
        <v>660</v>
      </c>
      <c r="I26">
        <v>1320</v>
      </c>
      <c r="J26">
        <v>2640</v>
      </c>
      <c r="K26" s="2" t="s">
        <v>18</v>
      </c>
      <c r="L26" s="2"/>
    </row>
    <row r="28" spans="1:12" x14ac:dyDescent="0.3">
      <c r="C28" t="s">
        <v>19</v>
      </c>
    </row>
    <row r="29" spans="1:12" x14ac:dyDescent="0.3">
      <c r="C29" t="s">
        <v>22</v>
      </c>
    </row>
    <row r="30" spans="1:12" x14ac:dyDescent="0.3">
      <c r="C30" t="s">
        <v>23</v>
      </c>
    </row>
    <row r="31" spans="1:12" x14ac:dyDescent="0.3">
      <c r="C31" t="s">
        <v>24</v>
      </c>
    </row>
    <row r="33" spans="1:17" x14ac:dyDescent="0.3">
      <c r="A33" t="s">
        <v>21</v>
      </c>
    </row>
    <row r="34" spans="1:17" x14ac:dyDescent="0.3">
      <c r="B34" t="s">
        <v>25</v>
      </c>
    </row>
    <row r="35" spans="1:17" x14ac:dyDescent="0.3">
      <c r="B35" t="s">
        <v>26</v>
      </c>
    </row>
    <row r="36" spans="1:17" x14ac:dyDescent="0.3">
      <c r="C36" t="s">
        <v>27</v>
      </c>
    </row>
    <row r="38" spans="1:17" x14ac:dyDescent="0.3">
      <c r="B38" t="s">
        <v>30</v>
      </c>
      <c r="E38" t="s">
        <v>31</v>
      </c>
      <c r="H38" t="s">
        <v>29</v>
      </c>
      <c r="K38" t="s">
        <v>34</v>
      </c>
      <c r="N38" t="s">
        <v>35</v>
      </c>
    </row>
    <row r="39" spans="1:17" x14ac:dyDescent="0.3">
      <c r="E39" t="s">
        <v>32</v>
      </c>
      <c r="K39" t="s">
        <v>33</v>
      </c>
      <c r="N39" t="s">
        <v>36</v>
      </c>
      <c r="P39" s="241" t="s">
        <v>1036</v>
      </c>
      <c r="Q39" s="241" t="s">
        <v>1037</v>
      </c>
    </row>
    <row r="40" spans="1:17" x14ac:dyDescent="0.3">
      <c r="A40" t="s">
        <v>28</v>
      </c>
      <c r="B40">
        <v>0.68</v>
      </c>
      <c r="E40">
        <v>0.79610000000000003</v>
      </c>
      <c r="H40">
        <v>0.69</v>
      </c>
      <c r="K40">
        <v>0.54</v>
      </c>
      <c r="N40">
        <v>1E-3</v>
      </c>
      <c r="Q40">
        <f>AVERAGE(E40, H40, K40)</f>
        <v>0.67536666666666667</v>
      </c>
    </row>
    <row r="41" spans="1:17" x14ac:dyDescent="0.3">
      <c r="A41" t="s">
        <v>9</v>
      </c>
      <c r="B41">
        <v>0.2</v>
      </c>
      <c r="E41">
        <v>0.12</v>
      </c>
      <c r="H41">
        <v>0.15</v>
      </c>
      <c r="K41">
        <v>0.122</v>
      </c>
      <c r="N41">
        <v>2.9000000000000001E-2</v>
      </c>
      <c r="Q41" s="214">
        <f t="shared" ref="Q41:Q46" si="3">AVERAGE(E41, H41, K41)</f>
        <v>0.13066666666666668</v>
      </c>
    </row>
    <row r="42" spans="1:17" x14ac:dyDescent="0.3">
      <c r="A42" t="s">
        <v>8</v>
      </c>
      <c r="B42">
        <v>5.6000000000000001E-2</v>
      </c>
      <c r="E42">
        <v>2.81E-2</v>
      </c>
      <c r="H42">
        <v>3.2000000000000001E-2</v>
      </c>
      <c r="K42">
        <v>0.12</v>
      </c>
      <c r="N42">
        <v>0.45100000000000001</v>
      </c>
      <c r="Q42" s="214">
        <f t="shared" si="3"/>
        <v>6.0033333333333327E-2</v>
      </c>
    </row>
    <row r="43" spans="1:17" x14ac:dyDescent="0.3">
      <c r="A43" t="s">
        <v>7</v>
      </c>
      <c r="B43">
        <v>0.03</v>
      </c>
      <c r="E43">
        <v>1.7999999999999999E-2</v>
      </c>
      <c r="H43">
        <v>3.2000000000000001E-2</v>
      </c>
      <c r="K43">
        <v>0.08</v>
      </c>
      <c r="N43">
        <v>1.008</v>
      </c>
      <c r="Q43" s="214">
        <f t="shared" si="3"/>
        <v>4.3333333333333335E-2</v>
      </c>
    </row>
    <row r="44" spans="1:17" x14ac:dyDescent="0.3">
      <c r="A44" t="s">
        <v>6</v>
      </c>
      <c r="B44">
        <v>1.7999999999999999E-2</v>
      </c>
      <c r="E44">
        <v>1.0999999999999999E-2</v>
      </c>
      <c r="H44">
        <v>3.2000000000000001E-2</v>
      </c>
      <c r="K44">
        <v>0.03</v>
      </c>
      <c r="N44">
        <v>2.5529999999999999</v>
      </c>
      <c r="Q44" s="214">
        <f t="shared" si="3"/>
        <v>2.4333333333333332E-2</v>
      </c>
    </row>
    <row r="45" spans="1:17" x14ac:dyDescent="0.3">
      <c r="A45" t="s">
        <v>5</v>
      </c>
      <c r="B45">
        <v>0.01</v>
      </c>
      <c r="E45">
        <v>1.0999999999999999E-2</v>
      </c>
      <c r="H45">
        <v>3.2000000000000001E-2</v>
      </c>
      <c r="K45">
        <v>2.9000000000000001E-2</v>
      </c>
      <c r="N45">
        <v>5.6909999999999998</v>
      </c>
      <c r="Q45" s="214">
        <f t="shared" si="3"/>
        <v>2.3999999999999997E-2</v>
      </c>
    </row>
    <row r="46" spans="1:17" x14ac:dyDescent="0.3">
      <c r="A46" t="s">
        <v>4</v>
      </c>
      <c r="B46">
        <v>6.0000000000000001E-3</v>
      </c>
      <c r="E46">
        <v>1.5800000000000002E-2</v>
      </c>
      <c r="H46">
        <v>3.2000000000000001E-2</v>
      </c>
      <c r="K46">
        <v>7.9000000000000001E-2</v>
      </c>
      <c r="N46">
        <v>9.5969999999999995</v>
      </c>
      <c r="P46">
        <f>B46*0.03+E46*0.24+H46*0.5+K46*0.23</f>
        <v>3.8142000000000002E-2</v>
      </c>
      <c r="Q46" s="214">
        <f t="shared" si="3"/>
        <v>4.2266666666666668E-2</v>
      </c>
    </row>
    <row r="48" spans="1:17" x14ac:dyDescent="0.3">
      <c r="A48" s="241" t="s">
        <v>1038</v>
      </c>
      <c r="B48">
        <f t="shared" ref="B48:E48" si="4">SUM(B42:B45)</f>
        <v>0.11399999999999999</v>
      </c>
      <c r="E48">
        <f t="shared" si="4"/>
        <v>6.8099999999999994E-2</v>
      </c>
      <c r="H48">
        <f>SUM(H42:H45)</f>
        <v>0.128</v>
      </c>
      <c r="K48">
        <f t="shared" ref="K48" si="5">SUM(K42:K45)</f>
        <v>0.25900000000000001</v>
      </c>
    </row>
    <row r="49" spans="1:12" x14ac:dyDescent="0.3">
      <c r="A49" s="241" t="s">
        <v>1039</v>
      </c>
      <c r="B49">
        <f t="shared" ref="B49:E49" si="6">SUM(B40:B46)</f>
        <v>1.0000000000000002</v>
      </c>
      <c r="E49">
        <f t="shared" si="6"/>
        <v>1</v>
      </c>
      <c r="H49">
        <f>SUM(H40:H46)</f>
        <v>1</v>
      </c>
      <c r="K49">
        <f t="shared" ref="K49" si="7">SUM(K40:K46)</f>
        <v>1</v>
      </c>
    </row>
    <row r="51" spans="1:12" x14ac:dyDescent="0.3">
      <c r="A51" t="s">
        <v>37</v>
      </c>
    </row>
    <row r="52" spans="1:12" x14ac:dyDescent="0.3">
      <c r="A52" t="s">
        <v>38</v>
      </c>
    </row>
    <row r="53" spans="1:12" x14ac:dyDescent="0.3">
      <c r="A53" t="s">
        <v>39</v>
      </c>
    </row>
    <row r="54" spans="1:12" x14ac:dyDescent="0.3">
      <c r="B54" t="s">
        <v>40</v>
      </c>
    </row>
    <row r="55" spans="1:12" x14ac:dyDescent="0.3">
      <c r="B55" t="s">
        <v>56</v>
      </c>
      <c r="K55" t="s">
        <v>567</v>
      </c>
    </row>
    <row r="56" spans="1:12" s="47" customFormat="1" x14ac:dyDescent="0.3">
      <c r="L56" s="47">
        <f>(50*0.33)/(365*24)</f>
        <v>1.8835616438356165E-3</v>
      </c>
    </row>
    <row r="57" spans="1:12" x14ac:dyDescent="0.3">
      <c r="A57" t="s">
        <v>568</v>
      </c>
    </row>
    <row r="58" spans="1:12" x14ac:dyDescent="0.3">
      <c r="B58" t="s">
        <v>41</v>
      </c>
    </row>
    <row r="59" spans="1:12" x14ac:dyDescent="0.3">
      <c r="B59" t="s">
        <v>57</v>
      </c>
    </row>
    <row r="60" spans="1:12" x14ac:dyDescent="0.3">
      <c r="B60" t="s">
        <v>42</v>
      </c>
      <c r="C60" t="s">
        <v>43</v>
      </c>
      <c r="D60" t="s">
        <v>44</v>
      </c>
      <c r="E60" t="s">
        <v>45</v>
      </c>
    </row>
    <row r="61" spans="1:12" x14ac:dyDescent="0.3">
      <c r="A61" t="s">
        <v>28</v>
      </c>
      <c r="B61" s="1">
        <f t="shared" ref="B61:B67" si="8">B40*N40*1</f>
        <v>6.8000000000000005E-4</v>
      </c>
      <c r="C61" s="1">
        <f t="shared" ref="C61:C67" si="9">E40*N40</f>
        <v>7.961E-4</v>
      </c>
      <c r="D61" s="1">
        <f t="shared" ref="D61:D67" si="10">H40*N40</f>
        <v>6.8999999999999997E-4</v>
      </c>
      <c r="E61" s="1">
        <f t="shared" ref="E61:E67" si="11">K40*N40</f>
        <v>5.4000000000000001E-4</v>
      </c>
    </row>
    <row r="62" spans="1:12" x14ac:dyDescent="0.3">
      <c r="A62" t="s">
        <v>9</v>
      </c>
      <c r="B62" s="1">
        <f t="shared" si="8"/>
        <v>5.8000000000000005E-3</v>
      </c>
      <c r="C62" s="1">
        <f t="shared" si="9"/>
        <v>3.48E-3</v>
      </c>
      <c r="D62" s="1">
        <f t="shared" si="10"/>
        <v>4.3499999999999997E-3</v>
      </c>
      <c r="E62" s="1">
        <f t="shared" si="11"/>
        <v>3.5379999999999999E-3</v>
      </c>
    </row>
    <row r="63" spans="1:12" x14ac:dyDescent="0.3">
      <c r="A63" t="s">
        <v>8</v>
      </c>
      <c r="B63" s="1">
        <f t="shared" si="8"/>
        <v>2.5256000000000001E-2</v>
      </c>
      <c r="C63" s="1">
        <f t="shared" si="9"/>
        <v>1.26731E-2</v>
      </c>
      <c r="D63" s="1">
        <f t="shared" si="10"/>
        <v>1.4432E-2</v>
      </c>
      <c r="E63" s="1">
        <f t="shared" si="11"/>
        <v>5.4120000000000001E-2</v>
      </c>
    </row>
    <row r="64" spans="1:12" x14ac:dyDescent="0.3">
      <c r="A64" t="s">
        <v>7</v>
      </c>
      <c r="B64" s="1">
        <f t="shared" si="8"/>
        <v>3.024E-2</v>
      </c>
      <c r="C64" s="1">
        <f t="shared" si="9"/>
        <v>1.8144E-2</v>
      </c>
      <c r="D64" s="1">
        <f t="shared" si="10"/>
        <v>3.2256E-2</v>
      </c>
      <c r="E64" s="1">
        <f t="shared" si="11"/>
        <v>8.0640000000000003E-2</v>
      </c>
    </row>
    <row r="65" spans="1:12" x14ac:dyDescent="0.3">
      <c r="A65" t="s">
        <v>6</v>
      </c>
      <c r="B65" s="1">
        <f t="shared" si="8"/>
        <v>4.5953999999999995E-2</v>
      </c>
      <c r="C65" s="1">
        <f t="shared" si="9"/>
        <v>2.8082999999999997E-2</v>
      </c>
      <c r="D65" s="1">
        <f t="shared" si="10"/>
        <v>8.1696000000000005E-2</v>
      </c>
      <c r="E65" s="1">
        <f t="shared" si="11"/>
        <v>7.6589999999999991E-2</v>
      </c>
    </row>
    <row r="66" spans="1:12" x14ac:dyDescent="0.3">
      <c r="A66" t="s">
        <v>5</v>
      </c>
      <c r="B66" s="1">
        <f t="shared" si="8"/>
        <v>5.6910000000000002E-2</v>
      </c>
      <c r="C66" s="1">
        <f t="shared" si="9"/>
        <v>6.260099999999999E-2</v>
      </c>
      <c r="D66" s="1">
        <f t="shared" si="10"/>
        <v>0.182112</v>
      </c>
      <c r="E66" s="1">
        <f t="shared" si="11"/>
        <v>0.16503899999999999</v>
      </c>
    </row>
    <row r="67" spans="1:12" x14ac:dyDescent="0.3">
      <c r="A67" s="8" t="s">
        <v>4</v>
      </c>
      <c r="B67" s="9">
        <f t="shared" si="8"/>
        <v>5.7582000000000001E-2</v>
      </c>
      <c r="C67" s="9">
        <f t="shared" si="9"/>
        <v>0.15163260000000001</v>
      </c>
      <c r="D67" s="9">
        <f t="shared" si="10"/>
        <v>0.30710399999999999</v>
      </c>
      <c r="E67" s="9">
        <f t="shared" si="11"/>
        <v>0.75816299999999992</v>
      </c>
    </row>
    <row r="68" spans="1:12" x14ac:dyDescent="0.3">
      <c r="A68" s="10" t="s">
        <v>112</v>
      </c>
      <c r="B68" s="11">
        <v>0.03</v>
      </c>
      <c r="C68" s="11">
        <v>0.24</v>
      </c>
      <c r="D68" s="11">
        <v>0.5</v>
      </c>
      <c r="E68" s="11">
        <v>0.23</v>
      </c>
      <c r="F68" s="1">
        <f>SUM(B68:E68)</f>
        <v>1</v>
      </c>
    </row>
    <row r="69" spans="1:12" x14ac:dyDescent="0.3">
      <c r="A69" t="s">
        <v>46</v>
      </c>
      <c r="B69" s="1">
        <f>SUM(B61:B67)</f>
        <v>0.22242199999999998</v>
      </c>
      <c r="C69" s="1">
        <f>SUM(C61:C67)</f>
        <v>0.27740979999999998</v>
      </c>
      <c r="D69" s="1">
        <f>SUM(D61:D67)</f>
        <v>0.62263999999999997</v>
      </c>
      <c r="E69" s="1">
        <f>SUM(E61:E67)</f>
        <v>1.13863</v>
      </c>
      <c r="G69" t="s">
        <v>116</v>
      </c>
      <c r="K69" t="s">
        <v>569</v>
      </c>
    </row>
    <row r="70" spans="1:12" x14ac:dyDescent="0.3">
      <c r="A70" t="s">
        <v>47</v>
      </c>
      <c r="B70" s="1">
        <f>B69*10</f>
        <v>2.2242199999999999</v>
      </c>
      <c r="C70" s="1">
        <f t="shared" ref="C70:E70" si="12">C69*10</f>
        <v>2.774098</v>
      </c>
      <c r="D70" s="1">
        <f t="shared" si="12"/>
        <v>6.2263999999999999</v>
      </c>
      <c r="E70" s="1">
        <f t="shared" si="12"/>
        <v>11.3863</v>
      </c>
      <c r="F70" s="1"/>
      <c r="G70" s="1">
        <f>B70*0.03+C70*0.24+D70*0.5+E70*0.23</f>
        <v>6.4645591199999997</v>
      </c>
      <c r="H70" t="s">
        <v>54</v>
      </c>
      <c r="L70" s="1">
        <f>G70*0.002</f>
        <v>1.2929118239999999E-2</v>
      </c>
    </row>
    <row r="71" spans="1:12" x14ac:dyDescent="0.3">
      <c r="G71" t="s">
        <v>571</v>
      </c>
    </row>
    <row r="72" spans="1:12" x14ac:dyDescent="0.3">
      <c r="A72" t="s">
        <v>49</v>
      </c>
    </row>
    <row r="73" spans="1:12" x14ac:dyDescent="0.3">
      <c r="A73" t="s">
        <v>48</v>
      </c>
    </row>
    <row r="74" spans="1:12" x14ac:dyDescent="0.3">
      <c r="A74" t="s">
        <v>51</v>
      </c>
    </row>
    <row r="75" spans="1:12" x14ac:dyDescent="0.3">
      <c r="A75" t="s">
        <v>50</v>
      </c>
    </row>
    <row r="77" spans="1:12" x14ac:dyDescent="0.3">
      <c r="A77" t="s">
        <v>53</v>
      </c>
    </row>
    <row r="79" spans="1:12" x14ac:dyDescent="0.3">
      <c r="A79" t="s">
        <v>570</v>
      </c>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T86"/>
  <sheetViews>
    <sheetView topLeftCell="A54" workbookViewId="0">
      <selection activeCell="A61" sqref="A61:A62"/>
    </sheetView>
  </sheetViews>
  <sheetFormatPr defaultColWidth="9.109375" defaultRowHeight="14.4" x14ac:dyDescent="0.3"/>
  <cols>
    <col min="1" max="1" width="16.44140625" style="117" customWidth="1"/>
    <col min="2" max="5" width="9.109375" style="117"/>
    <col min="6" max="6" width="10.6640625" style="117" customWidth="1"/>
    <col min="7" max="12" width="9.109375" style="117"/>
    <col min="13" max="13" width="11.109375" style="117" customWidth="1"/>
    <col min="14" max="14" width="9.109375" style="117"/>
    <col min="15" max="15" width="10.33203125" style="117" customWidth="1"/>
    <col min="16" max="17" width="9.109375" style="117"/>
    <col min="18" max="18" width="12" style="117" bestFit="1" customWidth="1"/>
    <col min="19" max="16384" width="9.109375" style="117"/>
  </cols>
  <sheetData>
    <row r="1" spans="1:6" x14ac:dyDescent="0.3">
      <c r="A1" s="86" t="s">
        <v>650</v>
      </c>
    </row>
    <row r="2" spans="1:6" x14ac:dyDescent="0.3">
      <c r="A2" s="117" t="s">
        <v>646</v>
      </c>
    </row>
    <row r="3" spans="1:6" x14ac:dyDescent="0.3">
      <c r="B3" s="117" t="s">
        <v>672</v>
      </c>
    </row>
    <row r="4" spans="1:6" x14ac:dyDescent="0.3">
      <c r="B4" s="117" t="s">
        <v>667</v>
      </c>
    </row>
    <row r="5" spans="1:6" x14ac:dyDescent="0.3">
      <c r="C5" s="117" t="s">
        <v>651</v>
      </c>
      <c r="F5" s="117" t="s">
        <v>700</v>
      </c>
    </row>
    <row r="6" spans="1:6" x14ac:dyDescent="0.3">
      <c r="C6" s="117" t="s">
        <v>652</v>
      </c>
      <c r="E6" s="117" t="s">
        <v>653</v>
      </c>
    </row>
    <row r="7" spans="1:6" x14ac:dyDescent="0.3">
      <c r="F7" s="117" t="s">
        <v>654</v>
      </c>
    </row>
    <row r="8" spans="1:6" x14ac:dyDescent="0.3">
      <c r="F8" s="117" t="s">
        <v>668</v>
      </c>
    </row>
    <row r="9" spans="1:6" x14ac:dyDescent="0.3">
      <c r="C9" s="117" t="s">
        <v>671</v>
      </c>
    </row>
    <row r="10" spans="1:6" x14ac:dyDescent="0.3">
      <c r="D10" s="117" t="s">
        <v>669</v>
      </c>
    </row>
    <row r="11" spans="1:6" x14ac:dyDescent="0.3">
      <c r="D11" s="117" t="s">
        <v>670</v>
      </c>
    </row>
    <row r="12" spans="1:6" x14ac:dyDescent="0.3">
      <c r="B12" s="78" t="s">
        <v>655</v>
      </c>
    </row>
    <row r="13" spans="1:6" x14ac:dyDescent="0.3">
      <c r="B13" s="78" t="s">
        <v>691</v>
      </c>
    </row>
    <row r="16" spans="1:6" x14ac:dyDescent="0.3">
      <c r="E16" s="117" t="s">
        <v>0</v>
      </c>
      <c r="F16" s="117" t="s">
        <v>663</v>
      </c>
    </row>
    <row r="17" spans="1:12" x14ac:dyDescent="0.3">
      <c r="E17" s="117" t="s">
        <v>13</v>
      </c>
      <c r="F17" s="117" t="s">
        <v>664</v>
      </c>
    </row>
    <row r="18" spans="1:12" x14ac:dyDescent="0.3">
      <c r="A18" s="117" t="s">
        <v>656</v>
      </c>
      <c r="D18" s="133">
        <v>4.95</v>
      </c>
    </row>
    <row r="19" spans="1:12" x14ac:dyDescent="0.3">
      <c r="A19" s="117" t="s">
        <v>657</v>
      </c>
      <c r="D19" s="133">
        <v>2200</v>
      </c>
    </row>
    <row r="20" spans="1:12" x14ac:dyDescent="0.3">
      <c r="A20" s="117" t="s">
        <v>665</v>
      </c>
      <c r="D20" s="144">
        <f>0.685*(D19*D18^2)^0.5</f>
        <v>159.04027237621295</v>
      </c>
      <c r="E20" s="156">
        <v>2</v>
      </c>
      <c r="F20" s="144">
        <f>D20*E20</f>
        <v>318.08054475242591</v>
      </c>
      <c r="G20" s="117" t="s">
        <v>702</v>
      </c>
    </row>
    <row r="21" spans="1:12" x14ac:dyDescent="0.3">
      <c r="A21" s="117" t="s">
        <v>658</v>
      </c>
      <c r="D21" s="133">
        <v>85</v>
      </c>
      <c r="H21" s="117" t="s">
        <v>701</v>
      </c>
    </row>
    <row r="22" spans="1:12" x14ac:dyDescent="0.3">
      <c r="A22" s="117" t="s">
        <v>659</v>
      </c>
      <c r="D22" s="108">
        <f>D21*1000000/24/60/60/23.55173</f>
        <v>41.771721070863848</v>
      </c>
      <c r="H22" s="117" t="s">
        <v>704</v>
      </c>
    </row>
    <row r="23" spans="1:12" x14ac:dyDescent="0.3">
      <c r="A23" s="117" t="s">
        <v>660</v>
      </c>
      <c r="D23" s="7">
        <f>745*D22^0.92</f>
        <v>23087.029217295509</v>
      </c>
    </row>
    <row r="24" spans="1:12" x14ac:dyDescent="0.3">
      <c r="A24" s="117" t="s">
        <v>661</v>
      </c>
      <c r="D24" s="144">
        <f>(D23/3.142)^0.5</f>
        <v>85.719757927813234</v>
      </c>
      <c r="E24" s="156">
        <f>2*1.15</f>
        <v>2.2999999999999998</v>
      </c>
      <c r="F24" s="144">
        <f>D24*E24</f>
        <v>197.15544323397043</v>
      </c>
      <c r="G24" s="117" t="s">
        <v>666</v>
      </c>
    </row>
    <row r="25" spans="1:12" x14ac:dyDescent="0.3">
      <c r="H25" s="117" t="s">
        <v>703</v>
      </c>
    </row>
    <row r="27" spans="1:12" x14ac:dyDescent="0.3">
      <c r="A27" s="117" t="s">
        <v>673</v>
      </c>
    </row>
    <row r="29" spans="1:12" x14ac:dyDescent="0.3">
      <c r="A29" s="117" t="s">
        <v>15</v>
      </c>
      <c r="B29" s="117" t="s">
        <v>16</v>
      </c>
      <c r="F29" s="117" t="s">
        <v>17</v>
      </c>
    </row>
    <row r="30" spans="1:12" x14ac:dyDescent="0.3">
      <c r="F30" s="117">
        <v>165</v>
      </c>
      <c r="G30" s="117">
        <v>330</v>
      </c>
      <c r="H30" s="117">
        <v>660</v>
      </c>
      <c r="I30" s="117">
        <v>1320</v>
      </c>
      <c r="J30" s="117">
        <v>2640</v>
      </c>
      <c r="K30" s="2" t="s">
        <v>18</v>
      </c>
      <c r="L30" s="2"/>
    </row>
    <row r="32" spans="1:12" x14ac:dyDescent="0.3">
      <c r="C32" s="117" t="s">
        <v>19</v>
      </c>
    </row>
    <row r="33" spans="1:7" x14ac:dyDescent="0.3">
      <c r="C33" s="117" t="s">
        <v>24</v>
      </c>
    </row>
    <row r="34" spans="1:7" x14ac:dyDescent="0.3">
      <c r="B34" s="133">
        <v>330</v>
      </c>
      <c r="C34" s="117" t="s">
        <v>676</v>
      </c>
    </row>
    <row r="35" spans="1:7" x14ac:dyDescent="0.3">
      <c r="B35" s="133">
        <v>5</v>
      </c>
      <c r="C35" s="117" t="s">
        <v>674</v>
      </c>
    </row>
    <row r="36" spans="1:7" x14ac:dyDescent="0.3">
      <c r="B36" s="133">
        <v>2E-3</v>
      </c>
      <c r="C36" s="145" t="s">
        <v>675</v>
      </c>
    </row>
    <row r="37" spans="1:7" x14ac:dyDescent="0.3">
      <c r="B37" s="145"/>
      <c r="C37" s="145"/>
    </row>
    <row r="38" spans="1:7" x14ac:dyDescent="0.3">
      <c r="A38" s="86" t="s">
        <v>679</v>
      </c>
      <c r="B38" s="146"/>
      <c r="C38" s="146"/>
      <c r="D38" s="86"/>
    </row>
    <row r="39" spans="1:7" x14ac:dyDescent="0.3">
      <c r="A39" s="86"/>
      <c r="B39" s="147" t="s">
        <v>641</v>
      </c>
      <c r="C39" s="147" t="s">
        <v>632</v>
      </c>
      <c r="D39" s="87" t="s">
        <v>677</v>
      </c>
    </row>
    <row r="40" spans="1:7" x14ac:dyDescent="0.3">
      <c r="A40" s="117" t="s">
        <v>678</v>
      </c>
      <c r="B40" s="134">
        <f>B35*C81</f>
        <v>13.87049</v>
      </c>
      <c r="C40" s="134">
        <f>B35*G81</f>
        <v>32.322795599999999</v>
      </c>
      <c r="D40" s="134">
        <f>B35*E81</f>
        <v>56.9315</v>
      </c>
      <c r="F40" s="117" t="s">
        <v>710</v>
      </c>
    </row>
    <row r="41" spans="1:7" x14ac:dyDescent="0.3">
      <c r="A41" s="117" t="s">
        <v>692</v>
      </c>
      <c r="B41" s="145"/>
      <c r="C41" s="145"/>
      <c r="G41" s="4" t="s">
        <v>712</v>
      </c>
    </row>
    <row r="42" spans="1:7" x14ac:dyDescent="0.3">
      <c r="B42" s="134">
        <f>B36*C81</f>
        <v>5.548196E-3</v>
      </c>
      <c r="C42" s="134">
        <f>B36*G81</f>
        <v>1.2929118239999999E-2</v>
      </c>
      <c r="D42" s="134">
        <f>B36*E81</f>
        <v>2.27726E-2</v>
      </c>
      <c r="F42" s="117" t="s">
        <v>709</v>
      </c>
    </row>
    <row r="43" spans="1:7" x14ac:dyDescent="0.3">
      <c r="B43" s="145"/>
      <c r="C43" s="145"/>
      <c r="G43" s="4" t="s">
        <v>712</v>
      </c>
    </row>
    <row r="44" spans="1:7" x14ac:dyDescent="0.3">
      <c r="B44" s="145"/>
      <c r="C44" s="145"/>
    </row>
    <row r="45" spans="1:7" x14ac:dyDescent="0.3">
      <c r="B45" s="145"/>
      <c r="C45" s="145"/>
    </row>
    <row r="46" spans="1:7" x14ac:dyDescent="0.3">
      <c r="A46" s="117" t="s">
        <v>21</v>
      </c>
    </row>
    <row r="47" spans="1:7" x14ac:dyDescent="0.3">
      <c r="B47" s="117" t="s">
        <v>25</v>
      </c>
    </row>
    <row r="48" spans="1:7" x14ac:dyDescent="0.3">
      <c r="B48" s="117" t="s">
        <v>26</v>
      </c>
    </row>
    <row r="49" spans="1:20" x14ac:dyDescent="0.3">
      <c r="C49" s="117" t="s">
        <v>27</v>
      </c>
    </row>
    <row r="50" spans="1:20" x14ac:dyDescent="0.3">
      <c r="A50" s="117" t="s">
        <v>711</v>
      </c>
    </row>
    <row r="51" spans="1:20" x14ac:dyDescent="0.3">
      <c r="B51" s="117" t="s">
        <v>30</v>
      </c>
      <c r="E51" s="117" t="s">
        <v>31</v>
      </c>
      <c r="H51" s="117" t="s">
        <v>29</v>
      </c>
      <c r="K51" s="117" t="s">
        <v>34</v>
      </c>
      <c r="N51" s="117" t="s">
        <v>35</v>
      </c>
    </row>
    <row r="52" spans="1:20" x14ac:dyDescent="0.3">
      <c r="E52" s="117" t="s">
        <v>32</v>
      </c>
      <c r="K52" s="117" t="s">
        <v>33</v>
      </c>
      <c r="N52" s="117" t="s">
        <v>36</v>
      </c>
      <c r="P52" s="117" t="s">
        <v>1040</v>
      </c>
      <c r="R52" s="117" t="s">
        <v>897</v>
      </c>
      <c r="S52" s="117" t="s">
        <v>898</v>
      </c>
    </row>
    <row r="53" spans="1:20" x14ac:dyDescent="0.3">
      <c r="A53" s="117" t="s">
        <v>28</v>
      </c>
      <c r="B53" s="117">
        <v>0.68</v>
      </c>
      <c r="E53" s="117">
        <v>0.79610000000000003</v>
      </c>
      <c r="H53" s="117">
        <v>0.69</v>
      </c>
      <c r="K53" s="117">
        <v>0.54</v>
      </c>
      <c r="N53" s="117">
        <v>1E-3</v>
      </c>
      <c r="R53" s="117">
        <f>AVERAGE(B53, E53, H53, K53)</f>
        <v>0.67652500000000004</v>
      </c>
    </row>
    <row r="54" spans="1:20" x14ac:dyDescent="0.3">
      <c r="A54" s="117" t="s">
        <v>9</v>
      </c>
      <c r="B54" s="117">
        <v>0.2</v>
      </c>
      <c r="E54" s="117">
        <v>0.12</v>
      </c>
      <c r="H54" s="117">
        <v>0.15</v>
      </c>
      <c r="K54" s="117">
        <v>0.122</v>
      </c>
      <c r="N54" s="117">
        <v>2.9000000000000001E-2</v>
      </c>
      <c r="R54" s="178">
        <f t="shared" ref="R54:R59" si="0">AVERAGE(B54, E54, H54, K54)</f>
        <v>0.14799999999999999</v>
      </c>
      <c r="S54" s="117">
        <f>R53+0.5*R54</f>
        <v>0.750525</v>
      </c>
    </row>
    <row r="55" spans="1:20" x14ac:dyDescent="0.3">
      <c r="A55" s="117" t="s">
        <v>8</v>
      </c>
      <c r="B55" s="117">
        <v>5.6000000000000001E-2</v>
      </c>
      <c r="E55" s="117">
        <v>2.81E-2</v>
      </c>
      <c r="H55" s="117">
        <v>3.2000000000000001E-2</v>
      </c>
      <c r="K55" s="117">
        <v>0.12</v>
      </c>
      <c r="N55" s="117">
        <v>0.45100000000000001</v>
      </c>
      <c r="R55" s="178">
        <f t="shared" si="0"/>
        <v>5.9025000000000001E-2</v>
      </c>
      <c r="S55" s="117">
        <f>0.5*R54+R55</f>
        <v>0.133025</v>
      </c>
      <c r="T55" s="117" t="s">
        <v>736</v>
      </c>
    </row>
    <row r="56" spans="1:20" x14ac:dyDescent="0.3">
      <c r="A56" s="117" t="s">
        <v>7</v>
      </c>
      <c r="B56" s="117">
        <v>0.03</v>
      </c>
      <c r="E56" s="117">
        <v>1.7999999999999999E-2</v>
      </c>
      <c r="H56" s="117">
        <v>3.2000000000000001E-2</v>
      </c>
      <c r="K56" s="117">
        <v>0.08</v>
      </c>
      <c r="N56" s="117">
        <v>1.008</v>
      </c>
      <c r="R56" s="178">
        <f t="shared" si="0"/>
        <v>0.04</v>
      </c>
      <c r="T56" s="117">
        <f>N56*K56/$K$65</f>
        <v>0.36990825688073392</v>
      </c>
    </row>
    <row r="57" spans="1:20" x14ac:dyDescent="0.3">
      <c r="A57" s="117" t="s">
        <v>6</v>
      </c>
      <c r="B57" s="117">
        <v>1.7999999999999999E-2</v>
      </c>
      <c r="E57" s="117">
        <v>1.0999999999999999E-2</v>
      </c>
      <c r="H57" s="117">
        <v>3.2000000000000001E-2</v>
      </c>
      <c r="K57" s="117">
        <v>0.03</v>
      </c>
      <c r="N57" s="117">
        <v>2.5529999999999999</v>
      </c>
      <c r="R57" s="178">
        <f t="shared" si="0"/>
        <v>2.2749999999999999E-2</v>
      </c>
      <c r="S57" s="117">
        <f>R56+R57+0.5*R58</f>
        <v>7.2999999999999995E-2</v>
      </c>
      <c r="T57" s="165">
        <f t="shared" ref="T57:T59" si="1">N57*K57/$K$65</f>
        <v>0.35133027522935772</v>
      </c>
    </row>
    <row r="58" spans="1:20" x14ac:dyDescent="0.3">
      <c r="A58" s="117" t="s">
        <v>5</v>
      </c>
      <c r="B58" s="117">
        <v>0.01</v>
      </c>
      <c r="E58" s="117">
        <v>1.0999999999999999E-2</v>
      </c>
      <c r="H58" s="117">
        <v>3.2000000000000001E-2</v>
      </c>
      <c r="K58" s="117">
        <v>2.9000000000000001E-2</v>
      </c>
      <c r="N58" s="117">
        <v>5.6909999999999998</v>
      </c>
      <c r="R58" s="178">
        <f t="shared" si="0"/>
        <v>2.0500000000000001E-2</v>
      </c>
      <c r="T58" s="165">
        <f t="shared" si="1"/>
        <v>0.75705963302752277</v>
      </c>
    </row>
    <row r="59" spans="1:20" x14ac:dyDescent="0.3">
      <c r="A59" s="117" t="s">
        <v>4</v>
      </c>
      <c r="B59" s="117">
        <v>6.0000000000000001E-3</v>
      </c>
      <c r="E59" s="117">
        <v>1.5800000000000002E-2</v>
      </c>
      <c r="H59" s="117">
        <v>3.2000000000000001E-2</v>
      </c>
      <c r="K59" s="117">
        <v>7.9000000000000001E-2</v>
      </c>
      <c r="N59" s="117">
        <v>9.5969999999999995</v>
      </c>
      <c r="P59" s="117">
        <f>B59*0.03+E59*0.24+H59*0.5+K59*0.23</f>
        <v>3.8142000000000002E-2</v>
      </c>
      <c r="R59" s="178">
        <f t="shared" si="0"/>
        <v>3.32E-2</v>
      </c>
      <c r="S59" s="117">
        <f>R59+0.5*R58</f>
        <v>4.3450000000000003E-2</v>
      </c>
      <c r="T59" s="165">
        <f t="shared" si="1"/>
        <v>3.4778119266055039</v>
      </c>
    </row>
    <row r="60" spans="1:20" x14ac:dyDescent="0.3">
      <c r="R60" s="117">
        <f>P59*0.0026</f>
        <v>9.9169199999999999E-5</v>
      </c>
    </row>
    <row r="61" spans="1:20" x14ac:dyDescent="0.3">
      <c r="A61" s="241" t="s">
        <v>1038</v>
      </c>
      <c r="B61" s="117">
        <f t="shared" ref="B61:E61" si="2">SUM(B55:B58)</f>
        <v>0.11399999999999999</v>
      </c>
      <c r="E61" s="117">
        <f t="shared" si="2"/>
        <v>6.8099999999999994E-2</v>
      </c>
      <c r="H61" s="117">
        <f>SUM(H55:H58)</f>
        <v>0.128</v>
      </c>
      <c r="K61" s="117">
        <f t="shared" ref="K61" si="3">SUM(K55:K58)</f>
        <v>0.25900000000000001</v>
      </c>
      <c r="S61" s="117" t="s">
        <v>74</v>
      </c>
      <c r="T61" s="117">
        <f>SUM(T56:T59)</f>
        <v>4.9561100917431187</v>
      </c>
    </row>
    <row r="62" spans="1:20" x14ac:dyDescent="0.3">
      <c r="A62" s="241" t="s">
        <v>1039</v>
      </c>
      <c r="B62" s="117">
        <f t="shared" ref="B62:E62" si="4">SUM(B53:B59)</f>
        <v>1.0000000000000002</v>
      </c>
      <c r="E62" s="117">
        <f t="shared" si="4"/>
        <v>1</v>
      </c>
      <c r="H62" s="117">
        <f>SUM(H53:H59)</f>
        <v>1</v>
      </c>
      <c r="K62" s="117">
        <f t="shared" ref="K62" si="5">SUM(K53:K59)</f>
        <v>1</v>
      </c>
    </row>
    <row r="63" spans="1:20" s="165" customFormat="1" x14ac:dyDescent="0.3">
      <c r="A63" s="165" t="s">
        <v>735</v>
      </c>
      <c r="B63" s="165">
        <f>B58+B59</f>
        <v>1.6E-2</v>
      </c>
      <c r="E63" s="165">
        <f t="shared" ref="E63:K63" si="6">E58+E59</f>
        <v>2.6800000000000001E-2</v>
      </c>
      <c r="H63" s="165">
        <f t="shared" si="6"/>
        <v>6.4000000000000001E-2</v>
      </c>
      <c r="K63" s="165">
        <f t="shared" si="6"/>
        <v>0.108</v>
      </c>
    </row>
    <row r="64" spans="1:20" x14ac:dyDescent="0.3">
      <c r="A64" s="117" t="s">
        <v>733</v>
      </c>
      <c r="B64" s="117">
        <f>SUM(B57:B59)</f>
        <v>3.3999999999999996E-2</v>
      </c>
      <c r="C64" s="165"/>
      <c r="D64" s="165"/>
      <c r="E64" s="165">
        <f>SUM(E57:E59)</f>
        <v>3.78E-2</v>
      </c>
      <c r="F64" s="165"/>
      <c r="G64" s="165"/>
      <c r="H64" s="165">
        <f>SUM(H57:H59)</f>
        <v>9.6000000000000002E-2</v>
      </c>
      <c r="I64" s="165"/>
      <c r="J64" s="165"/>
      <c r="K64" s="165">
        <f>SUM(K57:K59)</f>
        <v>0.13800000000000001</v>
      </c>
    </row>
    <row r="65" spans="1:11" s="165" customFormat="1" x14ac:dyDescent="0.3">
      <c r="A65" s="165" t="s">
        <v>734</v>
      </c>
      <c r="B65" s="165">
        <f>SUM(B56:B59)</f>
        <v>6.4000000000000001E-2</v>
      </c>
      <c r="E65" s="165">
        <f>SUM(E56:E59)</f>
        <v>5.5799999999999995E-2</v>
      </c>
      <c r="H65" s="165">
        <f>SUM(H56:H59)</f>
        <v>0.128</v>
      </c>
      <c r="K65" s="165">
        <f>SUM(K56:K59)</f>
        <v>0.21800000000000003</v>
      </c>
    </row>
    <row r="66" spans="1:11" x14ac:dyDescent="0.3">
      <c r="A66" s="117" t="s">
        <v>37</v>
      </c>
    </row>
    <row r="67" spans="1:11" x14ac:dyDescent="0.3">
      <c r="A67" s="117" t="s">
        <v>38</v>
      </c>
    </row>
    <row r="68" spans="1:11" x14ac:dyDescent="0.3">
      <c r="A68" s="117" t="s">
        <v>708</v>
      </c>
    </row>
    <row r="69" spans="1:11" x14ac:dyDescent="0.3">
      <c r="B69" s="117" t="s">
        <v>41</v>
      </c>
    </row>
    <row r="70" spans="1:11" x14ac:dyDescent="0.3">
      <c r="B70" s="117" t="s">
        <v>57</v>
      </c>
    </row>
    <row r="71" spans="1:11" x14ac:dyDescent="0.3">
      <c r="B71" s="117" t="s">
        <v>42</v>
      </c>
      <c r="C71" s="117" t="s">
        <v>43</v>
      </c>
      <c r="D71" s="117" t="s">
        <v>44</v>
      </c>
      <c r="E71" s="117" t="s">
        <v>45</v>
      </c>
    </row>
    <row r="72" spans="1:11" x14ac:dyDescent="0.3">
      <c r="A72" s="117" t="s">
        <v>28</v>
      </c>
      <c r="B72" s="1">
        <f t="shared" ref="B72:B78" si="7">B53*N53*1</f>
        <v>6.8000000000000005E-4</v>
      </c>
      <c r="C72" s="1">
        <f t="shared" ref="C72:C78" si="8">E53*N53</f>
        <v>7.961E-4</v>
      </c>
      <c r="D72" s="1">
        <f t="shared" ref="D72:D78" si="9">H53*N53</f>
        <v>6.8999999999999997E-4</v>
      </c>
      <c r="E72" s="1">
        <f t="shared" ref="E72:E78" si="10">K53*N53</f>
        <v>5.4000000000000001E-4</v>
      </c>
    </row>
    <row r="73" spans="1:11" x14ac:dyDescent="0.3">
      <c r="A73" s="117" t="s">
        <v>9</v>
      </c>
      <c r="B73" s="1">
        <f t="shared" si="7"/>
        <v>5.8000000000000005E-3</v>
      </c>
      <c r="C73" s="1">
        <f t="shared" si="8"/>
        <v>3.48E-3</v>
      </c>
      <c r="D73" s="1">
        <f t="shared" si="9"/>
        <v>4.3499999999999997E-3</v>
      </c>
      <c r="E73" s="1">
        <f t="shared" si="10"/>
        <v>3.5379999999999999E-3</v>
      </c>
    </row>
    <row r="74" spans="1:11" x14ac:dyDescent="0.3">
      <c r="A74" s="117" t="s">
        <v>8</v>
      </c>
      <c r="B74" s="1">
        <f t="shared" si="7"/>
        <v>2.5256000000000001E-2</v>
      </c>
      <c r="C74" s="1">
        <f t="shared" si="8"/>
        <v>1.26731E-2</v>
      </c>
      <c r="D74" s="1">
        <f t="shared" si="9"/>
        <v>1.4432E-2</v>
      </c>
      <c r="E74" s="1">
        <f t="shared" si="10"/>
        <v>5.4120000000000001E-2</v>
      </c>
    </row>
    <row r="75" spans="1:11" x14ac:dyDescent="0.3">
      <c r="A75" s="117" t="s">
        <v>7</v>
      </c>
      <c r="B75" s="1">
        <f t="shared" si="7"/>
        <v>3.024E-2</v>
      </c>
      <c r="C75" s="1">
        <f t="shared" si="8"/>
        <v>1.8144E-2</v>
      </c>
      <c r="D75" s="1">
        <f t="shared" si="9"/>
        <v>3.2256E-2</v>
      </c>
      <c r="E75" s="1">
        <f t="shared" si="10"/>
        <v>8.0640000000000003E-2</v>
      </c>
    </row>
    <row r="76" spans="1:11" x14ac:dyDescent="0.3">
      <c r="A76" s="117" t="s">
        <v>6</v>
      </c>
      <c r="B76" s="1">
        <f t="shared" si="7"/>
        <v>4.5953999999999995E-2</v>
      </c>
      <c r="C76" s="1">
        <f t="shared" si="8"/>
        <v>2.8082999999999997E-2</v>
      </c>
      <c r="D76" s="1">
        <f t="shared" si="9"/>
        <v>8.1696000000000005E-2</v>
      </c>
      <c r="E76" s="1">
        <f t="shared" si="10"/>
        <v>7.6589999999999991E-2</v>
      </c>
    </row>
    <row r="77" spans="1:11" x14ac:dyDescent="0.3">
      <c r="A77" s="117" t="s">
        <v>5</v>
      </c>
      <c r="B77" s="1">
        <f t="shared" si="7"/>
        <v>5.6910000000000002E-2</v>
      </c>
      <c r="C77" s="1">
        <f t="shared" si="8"/>
        <v>6.260099999999999E-2</v>
      </c>
      <c r="D77" s="1">
        <f t="shared" si="9"/>
        <v>0.182112</v>
      </c>
      <c r="E77" s="1">
        <f t="shared" si="10"/>
        <v>0.16503899999999999</v>
      </c>
    </row>
    <row r="78" spans="1:11" x14ac:dyDescent="0.3">
      <c r="A78" s="8" t="s">
        <v>4</v>
      </c>
      <c r="B78" s="9">
        <f t="shared" si="7"/>
        <v>5.7582000000000001E-2</v>
      </c>
      <c r="C78" s="9">
        <f t="shared" si="8"/>
        <v>0.15163260000000001</v>
      </c>
      <c r="D78" s="9">
        <f t="shared" si="9"/>
        <v>0.30710399999999999</v>
      </c>
      <c r="E78" s="9">
        <f t="shared" si="10"/>
        <v>0.75816299999999992</v>
      </c>
    </row>
    <row r="79" spans="1:11" x14ac:dyDescent="0.3">
      <c r="A79" s="10" t="s">
        <v>112</v>
      </c>
      <c r="B79" s="11">
        <v>0.03</v>
      </c>
      <c r="C79" s="11">
        <v>0.24</v>
      </c>
      <c r="D79" s="11">
        <v>0.5</v>
      </c>
      <c r="E79" s="11">
        <v>0.23</v>
      </c>
      <c r="F79" s="1">
        <f>SUM(B79:E79)</f>
        <v>1</v>
      </c>
    </row>
    <row r="80" spans="1:11" x14ac:dyDescent="0.3">
      <c r="A80" s="117" t="s">
        <v>46</v>
      </c>
      <c r="B80" s="1">
        <f>SUM(B72:B78)</f>
        <v>0.22242199999999998</v>
      </c>
      <c r="C80" s="1">
        <f>SUM(C72:C78)</f>
        <v>0.27740979999999998</v>
      </c>
      <c r="D80" s="1">
        <f>SUM(D72:D78)</f>
        <v>0.62263999999999997</v>
      </c>
      <c r="E80" s="1">
        <f>SUM(E72:E78)</f>
        <v>1.13863</v>
      </c>
      <c r="G80" s="117" t="s">
        <v>116</v>
      </c>
      <c r="K80" s="117" t="s">
        <v>569</v>
      </c>
    </row>
    <row r="81" spans="1:12" x14ac:dyDescent="0.3">
      <c r="A81" s="117" t="s">
        <v>47</v>
      </c>
      <c r="B81" s="1">
        <f>B80*10</f>
        <v>2.2242199999999999</v>
      </c>
      <c r="C81" s="1">
        <f t="shared" ref="C81:E81" si="11">C80*10</f>
        <v>2.774098</v>
      </c>
      <c r="D81" s="1">
        <f t="shared" si="11"/>
        <v>6.2263999999999999</v>
      </c>
      <c r="E81" s="1">
        <f t="shared" si="11"/>
        <v>11.3863</v>
      </c>
      <c r="F81" s="1"/>
      <c r="G81" s="158">
        <f>B81*D86+C81*D84+D81*D85+E81*D83</f>
        <v>6.4645591199999997</v>
      </c>
      <c r="H81" s="117" t="s">
        <v>54</v>
      </c>
      <c r="L81" s="1">
        <f>G81*0.002</f>
        <v>1.2929118239999999E-2</v>
      </c>
    </row>
    <row r="82" spans="1:12" x14ac:dyDescent="0.3">
      <c r="G82" s="117" t="s">
        <v>571</v>
      </c>
    </row>
    <row r="83" spans="1:12" x14ac:dyDescent="0.3">
      <c r="A83" s="117" t="s">
        <v>49</v>
      </c>
      <c r="D83" s="156">
        <v>0.23</v>
      </c>
    </row>
    <row r="84" spans="1:12" x14ac:dyDescent="0.3">
      <c r="A84" s="117" t="s">
        <v>48</v>
      </c>
      <c r="D84" s="156">
        <v>0.24</v>
      </c>
    </row>
    <row r="85" spans="1:12" x14ac:dyDescent="0.3">
      <c r="A85" s="117" t="s">
        <v>51</v>
      </c>
      <c r="D85" s="156">
        <v>0.5</v>
      </c>
    </row>
    <row r="86" spans="1:12" x14ac:dyDescent="0.3">
      <c r="A86" s="117" t="s">
        <v>50</v>
      </c>
      <c r="D86" s="156">
        <v>0.03</v>
      </c>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63"/>
  <sheetViews>
    <sheetView workbookViewId="0">
      <selection activeCell="N45" sqref="N45"/>
    </sheetView>
  </sheetViews>
  <sheetFormatPr defaultRowHeight="14.4" x14ac:dyDescent="0.3"/>
  <cols>
    <col min="1" max="1" width="13" customWidth="1"/>
    <col min="2" max="2" width="11" customWidth="1"/>
    <col min="3" max="3" width="11.5546875" customWidth="1"/>
    <col min="5" max="5" width="11" customWidth="1"/>
    <col min="6" max="6" width="12.88671875" customWidth="1"/>
    <col min="7" max="7" width="12" customWidth="1"/>
    <col min="9" max="9" width="11.33203125" customWidth="1"/>
    <col min="10" max="10" width="12.109375" customWidth="1"/>
    <col min="11" max="11" width="11.6640625" customWidth="1"/>
    <col min="12" max="12" width="11.33203125" customWidth="1"/>
    <col min="13" max="13" width="9.33203125" bestFit="1" customWidth="1"/>
    <col min="14" max="14" width="12.109375" bestFit="1" customWidth="1"/>
    <col min="15" max="16" width="9.5546875" bestFit="1" customWidth="1"/>
    <col min="17" max="17" width="10.6640625" customWidth="1"/>
  </cols>
  <sheetData>
    <row r="1" spans="1:14" x14ac:dyDescent="0.3">
      <c r="G1" t="s">
        <v>932</v>
      </c>
      <c r="H1">
        <v>0.94169384000000012</v>
      </c>
    </row>
    <row r="2" spans="1:14" x14ac:dyDescent="0.3">
      <c r="A2" t="s">
        <v>724</v>
      </c>
      <c r="G2" t="s">
        <v>9</v>
      </c>
      <c r="H2">
        <v>2.2797999999999999E-2</v>
      </c>
    </row>
    <row r="3" spans="1:14" x14ac:dyDescent="0.3">
      <c r="G3" t="s">
        <v>8</v>
      </c>
      <c r="H3">
        <v>1.8770999999999999E-2</v>
      </c>
    </row>
    <row r="4" spans="1:14" x14ac:dyDescent="0.3">
      <c r="G4" t="s">
        <v>7</v>
      </c>
      <c r="H4">
        <v>1.1134000000000002E-2</v>
      </c>
    </row>
    <row r="5" spans="1:14" x14ac:dyDescent="0.3">
      <c r="A5" t="s">
        <v>68</v>
      </c>
      <c r="G5" t="s">
        <v>6</v>
      </c>
      <c r="H5">
        <v>3.4480000000000001E-3</v>
      </c>
    </row>
    <row r="6" spans="1:14" x14ac:dyDescent="0.3">
      <c r="G6" t="s">
        <v>5</v>
      </c>
      <c r="H6">
        <v>1.3695999999999999E-3</v>
      </c>
    </row>
    <row r="7" spans="1:14" x14ac:dyDescent="0.3">
      <c r="G7" t="s">
        <v>4</v>
      </c>
      <c r="H7">
        <v>7.8556000000000003E-4</v>
      </c>
    </row>
    <row r="9" spans="1:14" x14ac:dyDescent="0.3">
      <c r="C9" s="106" t="s">
        <v>69</v>
      </c>
      <c r="D9" s="106"/>
    </row>
    <row r="11" spans="1:14" x14ac:dyDescent="0.3">
      <c r="C11" s="106" t="s">
        <v>70</v>
      </c>
      <c r="F11" t="s">
        <v>71</v>
      </c>
      <c r="H11" t="s">
        <v>72</v>
      </c>
    </row>
    <row r="12" spans="1:14" x14ac:dyDescent="0.3">
      <c r="F12" t="s">
        <v>930</v>
      </c>
      <c r="H12">
        <v>1</v>
      </c>
      <c r="I12">
        <v>2</v>
      </c>
      <c r="J12">
        <v>3</v>
      </c>
      <c r="K12">
        <v>6</v>
      </c>
      <c r="L12">
        <v>9</v>
      </c>
      <c r="M12" s="2"/>
      <c r="N12" s="2" t="s">
        <v>74</v>
      </c>
    </row>
    <row r="13" spans="1:14" x14ac:dyDescent="0.3">
      <c r="F13" t="s">
        <v>73</v>
      </c>
      <c r="H13">
        <v>0.8</v>
      </c>
      <c r="I13">
        <v>0.18</v>
      </c>
      <c r="J13">
        <v>1.89E-2</v>
      </c>
      <c r="K13">
        <v>1E-3</v>
      </c>
      <c r="L13">
        <v>1E-4</v>
      </c>
      <c r="N13">
        <f>SUM(H13:M13)</f>
        <v>1</v>
      </c>
    </row>
    <row r="14" spans="1:14" x14ac:dyDescent="0.3">
      <c r="E14" t="s">
        <v>75</v>
      </c>
    </row>
    <row r="15" spans="1:14" x14ac:dyDescent="0.3">
      <c r="E15" t="s">
        <v>76</v>
      </c>
    </row>
    <row r="16" spans="1:14" x14ac:dyDescent="0.3">
      <c r="L16" t="s">
        <v>110</v>
      </c>
    </row>
    <row r="19" spans="1:17" x14ac:dyDescent="0.3">
      <c r="A19" t="s">
        <v>21</v>
      </c>
    </row>
    <row r="20" spans="1:17" x14ac:dyDescent="0.3">
      <c r="I20" t="s">
        <v>98</v>
      </c>
    </row>
    <row r="21" spans="1:17" x14ac:dyDescent="0.3">
      <c r="E21" s="106" t="s">
        <v>26</v>
      </c>
    </row>
    <row r="22" spans="1:17" x14ac:dyDescent="0.3">
      <c r="E22" t="s">
        <v>27</v>
      </c>
    </row>
    <row r="23" spans="1:17" x14ac:dyDescent="0.3">
      <c r="Q23" t="s">
        <v>595</v>
      </c>
    </row>
    <row r="24" spans="1:17" x14ac:dyDescent="0.3">
      <c r="E24" s="106" t="s">
        <v>70</v>
      </c>
      <c r="H24" t="s">
        <v>83</v>
      </c>
      <c r="J24" t="s">
        <v>106</v>
      </c>
      <c r="L24" t="s">
        <v>101</v>
      </c>
      <c r="Q24" t="s">
        <v>597</v>
      </c>
    </row>
    <row r="25" spans="1:17" x14ac:dyDescent="0.3">
      <c r="E25" s="106" t="s">
        <v>77</v>
      </c>
      <c r="F25" t="s">
        <v>82</v>
      </c>
      <c r="H25" t="s">
        <v>84</v>
      </c>
      <c r="J25" t="s">
        <v>92</v>
      </c>
      <c r="L25" t="s">
        <v>99</v>
      </c>
      <c r="M25" t="s">
        <v>100</v>
      </c>
      <c r="N25" t="s">
        <v>102</v>
      </c>
      <c r="O25" t="s">
        <v>103</v>
      </c>
      <c r="P25" t="s">
        <v>104</v>
      </c>
      <c r="Q25" t="s">
        <v>596</v>
      </c>
    </row>
    <row r="26" spans="1:17" x14ac:dyDescent="0.3">
      <c r="E26" s="106" t="s">
        <v>79</v>
      </c>
      <c r="F26">
        <v>1</v>
      </c>
      <c r="H26" t="s">
        <v>105</v>
      </c>
      <c r="J26">
        <v>0.1</v>
      </c>
      <c r="L26" s="108">
        <f>0.1*1^2*3.142</f>
        <v>0.31420000000000003</v>
      </c>
      <c r="M26" s="108">
        <f>0.1*(2^2)*3.142</f>
        <v>1.2568000000000001</v>
      </c>
      <c r="N26" s="108">
        <f>0.1*3^2*3.142</f>
        <v>2.8277999999999999</v>
      </c>
      <c r="O26" s="108">
        <f>0.1*6^2*3.142</f>
        <v>11.311199999999999</v>
      </c>
      <c r="P26" s="108">
        <f>0.1*9^2*3.142</f>
        <v>25.450199999999999</v>
      </c>
      <c r="Q26" s="108">
        <f>$H$13*L26+$I$13*M26+$J$13*N26+$K$13*O26+$L$13*P26</f>
        <v>0.54488563999999995</v>
      </c>
    </row>
    <row r="27" spans="1:17" x14ac:dyDescent="0.3">
      <c r="B27" s="3"/>
      <c r="C27" s="3"/>
      <c r="D27" s="3"/>
      <c r="E27" s="3" t="s">
        <v>80</v>
      </c>
      <c r="F27">
        <v>2</v>
      </c>
      <c r="H27" s="3" t="s">
        <v>91</v>
      </c>
      <c r="J27">
        <v>1</v>
      </c>
      <c r="L27" s="108">
        <f>1*1^2*3.142</f>
        <v>3.1419999999999999</v>
      </c>
      <c r="M27" s="108">
        <f>1*2^2*3.142</f>
        <v>12.568</v>
      </c>
      <c r="N27" s="108">
        <f>1*3^2*3.142</f>
        <v>28.277999999999999</v>
      </c>
      <c r="O27" s="108">
        <f>1*6^2*3.142</f>
        <v>113.11199999999999</v>
      </c>
      <c r="P27" s="108">
        <f>1*9^2*3.142</f>
        <v>254.50199999999998</v>
      </c>
      <c r="Q27" s="108">
        <f t="shared" ref="Q27:Q31" si="0">$H$13*L27+$I$13*M27+$J$13*N27+$K$13*O27+$L$13*P27</f>
        <v>5.4488564000000004</v>
      </c>
    </row>
    <row r="28" spans="1:17" x14ac:dyDescent="0.3">
      <c r="B28" s="4"/>
      <c r="C28" s="4"/>
      <c r="D28" s="4"/>
      <c r="E28" s="4" t="s">
        <v>78</v>
      </c>
      <c r="F28">
        <v>3</v>
      </c>
      <c r="H28" t="s">
        <v>85</v>
      </c>
      <c r="J28">
        <v>10</v>
      </c>
      <c r="L28" s="108">
        <f>10*1^2*3.142</f>
        <v>31.419999999999998</v>
      </c>
      <c r="M28" s="108">
        <f>10*2^2*3.142</f>
        <v>125.67999999999999</v>
      </c>
      <c r="N28" s="108">
        <f>10*3^2*3.142</f>
        <v>282.77999999999997</v>
      </c>
      <c r="O28" s="108">
        <f>10*6^2*3.142</f>
        <v>1131.1199999999999</v>
      </c>
      <c r="P28" s="108">
        <f>10*9^2*3.142</f>
        <v>2545.02</v>
      </c>
      <c r="Q28" s="108">
        <f t="shared" si="0"/>
        <v>54.488563999999997</v>
      </c>
    </row>
    <row r="29" spans="1:17" x14ac:dyDescent="0.3">
      <c r="B29" s="4"/>
      <c r="C29" s="4"/>
      <c r="D29" s="4"/>
      <c r="E29" s="4" t="s">
        <v>81</v>
      </c>
      <c r="F29">
        <v>4</v>
      </c>
      <c r="H29" t="s">
        <v>86</v>
      </c>
      <c r="J29">
        <v>100</v>
      </c>
      <c r="L29" s="108">
        <f>100*1^2*3.142</f>
        <v>314.2</v>
      </c>
      <c r="M29" s="108">
        <f>100*2^2*3.142</f>
        <v>1256.8</v>
      </c>
      <c r="N29" s="108">
        <f>100*3^2*3.142</f>
        <v>2827.7999999999997</v>
      </c>
      <c r="O29" s="108">
        <f>100*6^2*3.142</f>
        <v>11311.199999999999</v>
      </c>
      <c r="P29" s="108">
        <f>100*9^2*3.142</f>
        <v>25450.2</v>
      </c>
      <c r="Q29" s="108">
        <f t="shared" si="0"/>
        <v>544.88563999999997</v>
      </c>
    </row>
    <row r="30" spans="1:17" x14ac:dyDescent="0.3">
      <c r="B30" s="4"/>
      <c r="C30" s="4"/>
      <c r="D30" s="4"/>
      <c r="E30" s="4" t="s">
        <v>89</v>
      </c>
      <c r="F30">
        <v>5</v>
      </c>
      <c r="H30" t="s">
        <v>87</v>
      </c>
      <c r="J30">
        <v>1000</v>
      </c>
      <c r="L30" s="108">
        <f>1000*1^2*3.142</f>
        <v>3142</v>
      </c>
      <c r="M30" s="108">
        <f>1000*2^2*3.142</f>
        <v>12568</v>
      </c>
      <c r="N30" s="108">
        <f>1000*3^2*3.142</f>
        <v>28278</v>
      </c>
      <c r="O30" s="108">
        <f>1000*6^2*3.142</f>
        <v>113112</v>
      </c>
      <c r="P30" s="108">
        <f>1000*9^2*3.142</f>
        <v>254502</v>
      </c>
      <c r="Q30" s="108">
        <f t="shared" si="0"/>
        <v>5448.8564000000006</v>
      </c>
    </row>
    <row r="31" spans="1:17" x14ac:dyDescent="0.3">
      <c r="E31" s="106" t="s">
        <v>90</v>
      </c>
      <c r="F31">
        <v>6</v>
      </c>
      <c r="H31" t="s">
        <v>88</v>
      </c>
      <c r="J31">
        <v>10000</v>
      </c>
      <c r="L31" s="108">
        <f>10000*1^2*3.142</f>
        <v>31420</v>
      </c>
      <c r="M31" s="108">
        <f>10000*2^2*3.142</f>
        <v>125680</v>
      </c>
      <c r="N31" s="108">
        <f>10000*3^2*3.142</f>
        <v>282780</v>
      </c>
      <c r="O31" s="108">
        <f>10000*6^2*3.142</f>
        <v>1131120</v>
      </c>
      <c r="P31" s="108">
        <f>10000*9^2*3.142</f>
        <v>2545020</v>
      </c>
      <c r="Q31" s="108">
        <f t="shared" si="0"/>
        <v>54488.563999999998</v>
      </c>
    </row>
    <row r="34" spans="1:14" x14ac:dyDescent="0.3">
      <c r="A34" s="5" t="s">
        <v>93</v>
      </c>
    </row>
    <row r="35" spans="1:14" x14ac:dyDescent="0.3">
      <c r="B35" s="109" t="s">
        <v>599</v>
      </c>
      <c r="C35" s="109" t="s">
        <v>43</v>
      </c>
      <c r="D35" s="109" t="s">
        <v>44</v>
      </c>
      <c r="E35" s="109" t="s">
        <v>94</v>
      </c>
      <c r="F35" t="s">
        <v>598</v>
      </c>
      <c r="H35" t="s">
        <v>95</v>
      </c>
      <c r="I35" t="s">
        <v>96</v>
      </c>
      <c r="K35" t="s">
        <v>52</v>
      </c>
      <c r="L35" t="s">
        <v>1041</v>
      </c>
    </row>
    <row r="36" spans="1:14" x14ac:dyDescent="0.3">
      <c r="A36" t="s">
        <v>28</v>
      </c>
      <c r="B36">
        <v>0.94889000000000001</v>
      </c>
      <c r="C36">
        <v>0.93296999999999997</v>
      </c>
      <c r="D36">
        <v>0.89400000000000002</v>
      </c>
      <c r="E36">
        <v>0.86899999999999999</v>
      </c>
      <c r="F36">
        <v>1E-3</v>
      </c>
      <c r="H36" s="110">
        <f>$F36*C36</f>
        <v>9.3296999999999998E-4</v>
      </c>
      <c r="I36" s="110">
        <f>$F36*E36</f>
        <v>8.6899999999999998E-4</v>
      </c>
      <c r="K36" s="110">
        <f>F36*($B$46*B36+C36*$C$46+$D$46*D36+$E$46*E36)</f>
        <v>9.0937850000000003E-4</v>
      </c>
    </row>
    <row r="37" spans="1:14" x14ac:dyDescent="0.3">
      <c r="A37" t="s">
        <v>9</v>
      </c>
      <c r="B37">
        <v>2.1999999999999999E-2</v>
      </c>
      <c r="C37">
        <v>2.4E-2</v>
      </c>
      <c r="D37">
        <v>2.8000000000000001E-2</v>
      </c>
      <c r="E37">
        <v>0.03</v>
      </c>
      <c r="F37">
        <v>2.9000000000000001E-2</v>
      </c>
      <c r="H37" s="110">
        <f t="shared" ref="H37:H42" si="1">$F37*C37</f>
        <v>6.96E-4</v>
      </c>
      <c r="I37" s="110">
        <f t="shared" ref="I37:I42" si="2">$F37*E37</f>
        <v>8.7000000000000001E-4</v>
      </c>
      <c r="K37" s="110">
        <f t="shared" ref="K37:K42" si="3">F37*($B$46*B37+C37*$C$46+$D$46*D37+$E$46*E37)</f>
        <v>7.6270000000000005E-4</v>
      </c>
    </row>
    <row r="38" spans="1:14" x14ac:dyDescent="0.3">
      <c r="A38" t="s">
        <v>8</v>
      </c>
      <c r="B38">
        <v>1.7999999999999999E-2</v>
      </c>
      <c r="C38">
        <v>0.02</v>
      </c>
      <c r="D38">
        <v>2.4E-2</v>
      </c>
      <c r="E38">
        <v>2.5000000000000001E-2</v>
      </c>
      <c r="F38">
        <v>0.45100000000000001</v>
      </c>
      <c r="H38" s="110">
        <f t="shared" si="1"/>
        <v>9.0200000000000002E-3</v>
      </c>
      <c r="I38" s="110">
        <f t="shared" si="2"/>
        <v>1.1275E-2</v>
      </c>
      <c r="K38" s="110">
        <f t="shared" si="3"/>
        <v>9.9896499999999992E-3</v>
      </c>
    </row>
    <row r="39" spans="1:14" x14ac:dyDescent="0.3">
      <c r="A39" t="s">
        <v>7</v>
      </c>
      <c r="B39">
        <v>0.01</v>
      </c>
      <c r="C39">
        <v>1.2E-2</v>
      </c>
      <c r="D39">
        <v>0.02</v>
      </c>
      <c r="E39">
        <v>2.1999999999999999E-2</v>
      </c>
      <c r="F39">
        <v>1.008</v>
      </c>
      <c r="H39" s="110">
        <f t="shared" si="1"/>
        <v>1.2096000000000001E-2</v>
      </c>
      <c r="I39" s="110">
        <f t="shared" si="2"/>
        <v>2.2175999999999998E-2</v>
      </c>
      <c r="K39" s="110">
        <f t="shared" si="3"/>
        <v>1.6632000000000001E-2</v>
      </c>
    </row>
    <row r="40" spans="1:14" x14ac:dyDescent="0.3">
      <c r="A40" t="s">
        <v>6</v>
      </c>
      <c r="B40">
        <v>1E-3</v>
      </c>
      <c r="C40">
        <v>0.01</v>
      </c>
      <c r="D40">
        <v>1.6E-2</v>
      </c>
      <c r="E40">
        <v>0.02</v>
      </c>
      <c r="F40">
        <v>2.5529999999999999</v>
      </c>
      <c r="H40" s="110">
        <f t="shared" si="1"/>
        <v>2.5530000000000001E-2</v>
      </c>
      <c r="I40" s="110">
        <f t="shared" si="2"/>
        <v>5.1060000000000001E-2</v>
      </c>
      <c r="K40" s="110">
        <f t="shared" si="3"/>
        <v>3.3189000000000003E-2</v>
      </c>
    </row>
    <row r="41" spans="1:14" x14ac:dyDescent="0.3">
      <c r="A41" t="s">
        <v>5</v>
      </c>
      <c r="B41">
        <v>1E-4</v>
      </c>
      <c r="C41">
        <v>1E-3</v>
      </c>
      <c r="D41">
        <v>1.2E-2</v>
      </c>
      <c r="E41">
        <v>1.7999999999999999E-2</v>
      </c>
      <c r="F41">
        <v>5.6909999999999998</v>
      </c>
      <c r="H41" s="110">
        <f t="shared" si="1"/>
        <v>5.6909999999999999E-3</v>
      </c>
      <c r="I41" s="110">
        <f t="shared" si="2"/>
        <v>0.10243799999999999</v>
      </c>
      <c r="K41" s="110">
        <f t="shared" si="3"/>
        <v>4.4731260000000002E-2</v>
      </c>
      <c r="L41">
        <f>K41/F41</f>
        <v>7.8600000000000007E-3</v>
      </c>
      <c r="M41" t="s">
        <v>55</v>
      </c>
    </row>
    <row r="42" spans="1:14" x14ac:dyDescent="0.3">
      <c r="A42" t="s">
        <v>4</v>
      </c>
      <c r="B42">
        <v>1.0000000000000001E-5</v>
      </c>
      <c r="C42">
        <v>3.0000000000000001E-5</v>
      </c>
      <c r="D42">
        <v>6.0000000000000001E-3</v>
      </c>
      <c r="E42">
        <v>1.6E-2</v>
      </c>
      <c r="F42">
        <v>9.5969999999999995</v>
      </c>
      <c r="H42" s="110">
        <f t="shared" si="1"/>
        <v>2.8791E-4</v>
      </c>
      <c r="I42" s="110">
        <f t="shared" si="2"/>
        <v>0.15355199999999999</v>
      </c>
      <c r="K42" s="110">
        <f t="shared" si="3"/>
        <v>4.6175965499999999E-2</v>
      </c>
      <c r="L42">
        <f>0.0461759655/F42</f>
        <v>4.8114999999999998E-3</v>
      </c>
      <c r="N42">
        <f>(50*0.33)/(365*24)</f>
        <v>1.8835616438356165E-3</v>
      </c>
    </row>
    <row r="44" spans="1:14" x14ac:dyDescent="0.3">
      <c r="A44" t="s">
        <v>600</v>
      </c>
      <c r="B44">
        <f>SUM(B37:B41)</f>
        <v>5.11E-2</v>
      </c>
      <c r="C44">
        <f t="shared" ref="C44:D44" si="4">SUM(C37:C41)</f>
        <v>6.699999999999999E-2</v>
      </c>
      <c r="D44">
        <f t="shared" si="4"/>
        <v>0.1</v>
      </c>
      <c r="E44">
        <f>SUM(E37:E41)</f>
        <v>0.115</v>
      </c>
      <c r="G44" s="1" t="s">
        <v>97</v>
      </c>
      <c r="H44" s="1">
        <f>SUM(H36:H42)</f>
        <v>5.4253880000000004E-2</v>
      </c>
      <c r="I44" s="1">
        <f>SUM(I36:I42)</f>
        <v>0.34223999999999999</v>
      </c>
      <c r="J44" s="1"/>
      <c r="K44" s="1">
        <f t="shared" ref="K44" si="5">SUM(K36:K42)</f>
        <v>0.15238995399999999</v>
      </c>
      <c r="L44" s="1"/>
      <c r="M44" s="1"/>
    </row>
    <row r="45" spans="1:14" x14ac:dyDescent="0.3">
      <c r="A45" t="s">
        <v>74</v>
      </c>
      <c r="B45">
        <f t="shared" ref="B45:E45" si="6">SUM(B36:B42)</f>
        <v>1</v>
      </c>
      <c r="C45">
        <f t="shared" si="6"/>
        <v>1</v>
      </c>
      <c r="D45">
        <f t="shared" si="6"/>
        <v>1</v>
      </c>
      <c r="E45">
        <f t="shared" si="6"/>
        <v>1</v>
      </c>
      <c r="I45">
        <f>0.054/0.152</f>
        <v>0.35526315789473684</v>
      </c>
    </row>
    <row r="46" spans="1:14" x14ac:dyDescent="0.3">
      <c r="A46" t="s">
        <v>112</v>
      </c>
      <c r="B46">
        <v>0.1</v>
      </c>
      <c r="C46">
        <v>0.35</v>
      </c>
      <c r="D46">
        <v>0.4</v>
      </c>
      <c r="E46">
        <v>0.15</v>
      </c>
    </row>
    <row r="49" spans="1:16" x14ac:dyDescent="0.3">
      <c r="A49" t="s">
        <v>108</v>
      </c>
      <c r="H49">
        <f>6*Q31</f>
        <v>326931.38399999996</v>
      </c>
      <c r="J49" t="s">
        <v>107</v>
      </c>
      <c r="K49">
        <f>1*Q26</f>
        <v>0.54488563999999995</v>
      </c>
      <c r="M49" t="s">
        <v>111</v>
      </c>
    </row>
    <row r="50" spans="1:16" x14ac:dyDescent="0.3">
      <c r="A50" t="s">
        <v>113</v>
      </c>
      <c r="B50">
        <v>6</v>
      </c>
      <c r="C50">
        <v>5</v>
      </c>
      <c r="D50">
        <v>4</v>
      </c>
      <c r="E50">
        <v>4</v>
      </c>
      <c r="F50">
        <v>3</v>
      </c>
      <c r="G50">
        <v>2</v>
      </c>
      <c r="H50">
        <v>1</v>
      </c>
    </row>
    <row r="51" spans="1:16" x14ac:dyDescent="0.3">
      <c r="A51" t="s">
        <v>114</v>
      </c>
      <c r="B51">
        <v>55000</v>
      </c>
      <c r="C51">
        <v>5500</v>
      </c>
      <c r="D51">
        <v>550</v>
      </c>
      <c r="E51">
        <v>55</v>
      </c>
      <c r="F51">
        <v>55</v>
      </c>
      <c r="G51">
        <v>5.5</v>
      </c>
      <c r="H51">
        <v>0.5</v>
      </c>
    </row>
    <row r="53" spans="1:16" x14ac:dyDescent="0.3">
      <c r="A53" t="s">
        <v>28</v>
      </c>
      <c r="B53" s="1">
        <f>($B$50*$B$51)*K36</f>
        <v>300.09490499999998</v>
      </c>
      <c r="C53" s="1">
        <f>($C$50*$C$51)*K36</f>
        <v>25.007908750000002</v>
      </c>
      <c r="D53" s="1">
        <f>($D$50*$D$51)*K36</f>
        <v>2.0006327000000002</v>
      </c>
      <c r="E53" s="1">
        <f>$E$50*$E$51*K36</f>
        <v>0.20006327000000002</v>
      </c>
      <c r="F53" s="1">
        <f>$F$50*$F$51*K36</f>
        <v>0.15004745250000001</v>
      </c>
      <c r="G53" s="1">
        <f>$G$50*$G$51*K36</f>
        <v>1.00031635E-2</v>
      </c>
      <c r="H53">
        <f>$H$50*$H$51*K36</f>
        <v>4.5468925000000001E-4</v>
      </c>
      <c r="J53" s="1"/>
      <c r="K53" s="1"/>
      <c r="L53" s="1"/>
      <c r="N53" s="1"/>
      <c r="O53" s="1"/>
      <c r="P53" s="1"/>
    </row>
    <row r="54" spans="1:16" x14ac:dyDescent="0.3">
      <c r="A54" t="s">
        <v>9</v>
      </c>
      <c r="B54" s="1">
        <f t="shared" ref="B54:B59" si="7">($B$50*$B$51)*K37</f>
        <v>251.69100000000003</v>
      </c>
      <c r="C54" s="1">
        <f t="shared" ref="C54:C59" si="8">($C$50*$C$51)*K37</f>
        <v>20.974250000000001</v>
      </c>
      <c r="D54" s="1">
        <f t="shared" ref="D54:D59" si="9">($D$50*$D$51)*K37</f>
        <v>1.6779400000000002</v>
      </c>
      <c r="E54" s="1">
        <f t="shared" ref="E54:E59" si="10">$E$50*$E$51*K37</f>
        <v>0.167794</v>
      </c>
      <c r="F54" s="1">
        <f t="shared" ref="F54:F59" si="11">$F$50*$F$51*K37</f>
        <v>0.1258455</v>
      </c>
      <c r="G54" s="1">
        <f t="shared" ref="G54:G59" si="12">$G$50*$G$51*K37</f>
        <v>8.3896999999999999E-3</v>
      </c>
      <c r="H54">
        <f t="shared" ref="H54:H59" si="13">$H$50*$H$51*K37</f>
        <v>3.8135000000000003E-4</v>
      </c>
      <c r="J54" s="1"/>
      <c r="K54" s="1"/>
      <c r="L54" s="1"/>
      <c r="N54" s="1"/>
      <c r="O54" s="1"/>
      <c r="P54" s="1"/>
    </row>
    <row r="55" spans="1:16" x14ac:dyDescent="0.3">
      <c r="A55" t="s">
        <v>8</v>
      </c>
      <c r="B55" s="1">
        <f t="shared" si="7"/>
        <v>3296.5844999999999</v>
      </c>
      <c r="C55" s="1">
        <f t="shared" si="8"/>
        <v>274.71537499999999</v>
      </c>
      <c r="D55" s="1">
        <f t="shared" si="9"/>
        <v>21.977229999999999</v>
      </c>
      <c r="E55" s="1">
        <f t="shared" si="10"/>
        <v>2.1977229999999999</v>
      </c>
      <c r="F55" s="1">
        <f t="shared" si="11"/>
        <v>1.6482922499999999</v>
      </c>
      <c r="G55" s="1">
        <f t="shared" si="12"/>
        <v>0.10988614999999999</v>
      </c>
      <c r="H55">
        <f t="shared" si="13"/>
        <v>4.9948249999999996E-3</v>
      </c>
      <c r="J55" s="1"/>
      <c r="K55" s="1"/>
      <c r="L55" s="1"/>
      <c r="N55" s="1"/>
      <c r="O55" s="1"/>
      <c r="P55" s="1"/>
    </row>
    <row r="56" spans="1:16" x14ac:dyDescent="0.3">
      <c r="A56" t="s">
        <v>7</v>
      </c>
      <c r="B56" s="1">
        <f t="shared" si="7"/>
        <v>5488.56</v>
      </c>
      <c r="C56" s="1">
        <f t="shared" si="8"/>
        <v>457.38000000000005</v>
      </c>
      <c r="D56" s="1">
        <f t="shared" si="9"/>
        <v>36.590400000000002</v>
      </c>
      <c r="E56" s="1">
        <f t="shared" si="10"/>
        <v>3.6590400000000001</v>
      </c>
      <c r="F56" s="1">
        <f t="shared" si="11"/>
        <v>2.7442800000000003</v>
      </c>
      <c r="G56" s="1">
        <f t="shared" si="12"/>
        <v>0.182952</v>
      </c>
      <c r="H56">
        <f t="shared" si="13"/>
        <v>8.3160000000000005E-3</v>
      </c>
      <c r="J56" s="1"/>
      <c r="K56" s="1"/>
      <c r="L56" s="1"/>
      <c r="N56" s="1"/>
      <c r="O56" s="1"/>
      <c r="P56" s="1"/>
    </row>
    <row r="57" spans="1:16" x14ac:dyDescent="0.3">
      <c r="A57" t="s">
        <v>6</v>
      </c>
      <c r="B57" s="1">
        <f t="shared" si="7"/>
        <v>10952.37</v>
      </c>
      <c r="C57" s="1">
        <f t="shared" si="8"/>
        <v>912.6975000000001</v>
      </c>
      <c r="D57" s="1">
        <f t="shared" si="9"/>
        <v>73.015800000000013</v>
      </c>
      <c r="E57" s="1">
        <f t="shared" si="10"/>
        <v>7.3015800000000004</v>
      </c>
      <c r="F57" s="1">
        <f t="shared" si="11"/>
        <v>5.476185000000001</v>
      </c>
      <c r="G57" s="1">
        <f t="shared" si="12"/>
        <v>0.36507900000000004</v>
      </c>
      <c r="H57">
        <f t="shared" si="13"/>
        <v>1.6594500000000002E-2</v>
      </c>
      <c r="J57" s="1"/>
      <c r="K57" s="1"/>
      <c r="L57" s="1"/>
      <c r="N57" s="1"/>
      <c r="O57" s="1"/>
      <c r="P57" s="1"/>
    </row>
    <row r="58" spans="1:16" x14ac:dyDescent="0.3">
      <c r="A58" t="s">
        <v>5</v>
      </c>
      <c r="B58" s="1">
        <f t="shared" si="7"/>
        <v>14761.3158</v>
      </c>
      <c r="C58" s="1">
        <f t="shared" si="8"/>
        <v>1230.1096500000001</v>
      </c>
      <c r="D58" s="1">
        <f t="shared" si="9"/>
        <v>98.408771999999999</v>
      </c>
      <c r="E58" s="1">
        <f t="shared" si="10"/>
        <v>9.8408771999999995</v>
      </c>
      <c r="F58" s="1">
        <f t="shared" si="11"/>
        <v>7.3806579000000001</v>
      </c>
      <c r="G58" s="1">
        <f t="shared" si="12"/>
        <v>0.49204386</v>
      </c>
      <c r="H58">
        <f t="shared" si="13"/>
        <v>2.2365630000000001E-2</v>
      </c>
      <c r="J58" s="1"/>
      <c r="K58" s="1"/>
      <c r="L58" s="1"/>
      <c r="N58" s="1"/>
      <c r="O58" s="1"/>
      <c r="P58" s="1"/>
    </row>
    <row r="59" spans="1:16" x14ac:dyDescent="0.3">
      <c r="A59" t="s">
        <v>4</v>
      </c>
      <c r="B59" s="1">
        <f t="shared" si="7"/>
        <v>15238.068615</v>
      </c>
      <c r="C59" s="1">
        <f t="shared" si="8"/>
        <v>1269.83905125</v>
      </c>
      <c r="D59" s="1">
        <f t="shared" si="9"/>
        <v>101.5871241</v>
      </c>
      <c r="E59" s="1">
        <f t="shared" si="10"/>
        <v>10.15871241</v>
      </c>
      <c r="F59" s="1">
        <f t="shared" si="11"/>
        <v>7.6190343074999998</v>
      </c>
      <c r="G59" s="1">
        <f t="shared" si="12"/>
        <v>0.50793562049999996</v>
      </c>
      <c r="H59">
        <f t="shared" si="13"/>
        <v>2.308798275E-2</v>
      </c>
      <c r="J59" s="1"/>
      <c r="K59" s="1"/>
      <c r="L59" s="1"/>
      <c r="N59" s="1"/>
      <c r="O59" s="1"/>
      <c r="P59" s="1"/>
    </row>
    <row r="60" spans="1:16" x14ac:dyDescent="0.3">
      <c r="B60" s="1"/>
      <c r="C60" s="1"/>
      <c r="D60" s="1"/>
      <c r="E60" s="1"/>
      <c r="F60" s="1"/>
      <c r="G60" s="1"/>
      <c r="J60" s="1"/>
      <c r="K60" s="1"/>
      <c r="L60" s="1"/>
      <c r="N60" s="1"/>
      <c r="O60" s="1"/>
      <c r="P60" s="1"/>
    </row>
    <row r="61" spans="1:16" x14ac:dyDescent="0.3">
      <c r="A61" t="s">
        <v>46</v>
      </c>
      <c r="B61" s="1">
        <f>SUM(B53:B59)</f>
        <v>50288.684819999995</v>
      </c>
      <c r="C61" s="1">
        <f>SUM(C53:C59)</f>
        <v>4190.7237350000005</v>
      </c>
      <c r="D61" s="1">
        <f t="shared" ref="D61:H61" si="14">SUM(D53:D59)</f>
        <v>335.25789880000002</v>
      </c>
      <c r="E61" s="1">
        <f t="shared" si="14"/>
        <v>33.525789879999998</v>
      </c>
      <c r="F61" s="1">
        <f t="shared" si="14"/>
        <v>25.14434241</v>
      </c>
      <c r="G61" s="1">
        <f t="shared" si="14"/>
        <v>1.6762894940000002</v>
      </c>
      <c r="H61" s="1">
        <f t="shared" si="14"/>
        <v>7.6194976999999997E-2</v>
      </c>
      <c r="J61" s="1"/>
      <c r="K61" s="1"/>
      <c r="L61" s="1"/>
      <c r="N61" s="1"/>
      <c r="O61" s="1"/>
      <c r="P61" s="1"/>
    </row>
    <row r="63" spans="1:16" x14ac:dyDescent="0.3">
      <c r="A63" t="s">
        <v>115</v>
      </c>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P53"/>
  <sheetViews>
    <sheetView topLeftCell="A30" workbookViewId="0">
      <selection activeCell="B37" sqref="B37"/>
    </sheetView>
  </sheetViews>
  <sheetFormatPr defaultColWidth="9.109375" defaultRowHeight="14.4" x14ac:dyDescent="0.3"/>
  <cols>
    <col min="1" max="1" width="13.88671875" style="117" customWidth="1"/>
    <col min="2" max="2" width="11" style="117" customWidth="1"/>
    <col min="3" max="3" width="11.5546875" style="117" customWidth="1"/>
    <col min="4" max="4" width="11.109375" style="117" customWidth="1"/>
    <col min="5" max="5" width="16.21875" style="117" customWidth="1"/>
    <col min="6" max="6" width="16.33203125" style="117" customWidth="1"/>
    <col min="7" max="7" width="12" style="117" customWidth="1"/>
    <col min="8" max="8" width="9.109375" style="117"/>
    <col min="9" max="9" width="11.33203125" style="117" customWidth="1"/>
    <col min="10" max="10" width="12.109375" style="117" customWidth="1"/>
    <col min="11" max="11" width="11.6640625" style="117" customWidth="1"/>
    <col min="12" max="12" width="11.33203125" style="117" customWidth="1"/>
    <col min="13" max="13" width="9.33203125" style="117" bestFit="1" customWidth="1"/>
    <col min="14" max="14" width="12.109375" style="66" bestFit="1" customWidth="1"/>
    <col min="15" max="15" width="9.5546875" style="66" bestFit="1" customWidth="1"/>
    <col min="16" max="16" width="9.5546875" style="117" bestFit="1" customWidth="1"/>
    <col min="17" max="17" width="10.6640625" style="117" customWidth="1"/>
    <col min="18" max="16384" width="9.109375" style="117"/>
  </cols>
  <sheetData>
    <row r="1" spans="1:16" x14ac:dyDescent="0.3">
      <c r="A1" s="86" t="s">
        <v>68</v>
      </c>
    </row>
    <row r="2" spans="1:16" x14ac:dyDescent="0.3">
      <c r="A2" s="143" t="s">
        <v>646</v>
      </c>
    </row>
    <row r="3" spans="1:16" x14ac:dyDescent="0.3">
      <c r="A3" s="86"/>
      <c r="B3" s="117" t="s">
        <v>645</v>
      </c>
    </row>
    <row r="4" spans="1:16" x14ac:dyDescent="0.3">
      <c r="A4" s="86"/>
      <c r="B4" s="117" t="s">
        <v>647</v>
      </c>
    </row>
    <row r="5" spans="1:16" x14ac:dyDescent="0.3">
      <c r="A5" s="86"/>
      <c r="B5" s="117" t="s">
        <v>648</v>
      </c>
      <c r="N5" s="66" t="s">
        <v>869</v>
      </c>
      <c r="O5" s="66" t="s">
        <v>875</v>
      </c>
      <c r="P5" s="117" t="s">
        <v>876</v>
      </c>
    </row>
    <row r="6" spans="1:16" x14ac:dyDescent="0.3">
      <c r="A6" s="86"/>
      <c r="B6" s="117" t="s">
        <v>662</v>
      </c>
      <c r="L6" s="117" t="s">
        <v>874</v>
      </c>
      <c r="N6" s="66">
        <v>1635</v>
      </c>
      <c r="O6" s="66">
        <v>5200000</v>
      </c>
      <c r="P6" s="108">
        <f>O6/N6</f>
        <v>3180.4281345565751</v>
      </c>
    </row>
    <row r="7" spans="1:16" x14ac:dyDescent="0.3">
      <c r="A7" s="86"/>
      <c r="B7" s="117" t="s">
        <v>649</v>
      </c>
      <c r="L7" s="117" t="s">
        <v>877</v>
      </c>
      <c r="N7" s="66">
        <v>571</v>
      </c>
      <c r="O7" s="66">
        <v>875000</v>
      </c>
      <c r="P7" s="108">
        <f t="shared" ref="P7:P26" si="0">O7/N7</f>
        <v>1532.3992994746059</v>
      </c>
    </row>
    <row r="8" spans="1:16" x14ac:dyDescent="0.3">
      <c r="H8" s="86" t="s">
        <v>595</v>
      </c>
      <c r="L8" s="117" t="s">
        <v>878</v>
      </c>
      <c r="N8" s="66">
        <v>861</v>
      </c>
      <c r="O8" s="66">
        <v>208000</v>
      </c>
      <c r="P8" s="108">
        <f t="shared" si="0"/>
        <v>241.57955865272939</v>
      </c>
    </row>
    <row r="9" spans="1:16" x14ac:dyDescent="0.3">
      <c r="A9" s="86" t="s">
        <v>70</v>
      </c>
      <c r="B9" s="86"/>
      <c r="D9" s="86" t="s">
        <v>83</v>
      </c>
      <c r="E9" s="86"/>
      <c r="F9" s="86" t="s">
        <v>106</v>
      </c>
      <c r="G9" s="86"/>
      <c r="H9" s="86" t="s">
        <v>597</v>
      </c>
      <c r="I9" s="86"/>
      <c r="L9" s="117" t="s">
        <v>879</v>
      </c>
      <c r="N9" s="66">
        <v>68.34</v>
      </c>
      <c r="O9" s="66">
        <v>706000</v>
      </c>
      <c r="P9" s="108">
        <f t="shared" si="0"/>
        <v>10330.699443956686</v>
      </c>
    </row>
    <row r="10" spans="1:16" x14ac:dyDescent="0.3">
      <c r="A10" s="87" t="s">
        <v>77</v>
      </c>
      <c r="B10" s="87" t="s">
        <v>82</v>
      </c>
      <c r="D10" s="87" t="s">
        <v>84</v>
      </c>
      <c r="E10" s="86"/>
      <c r="F10" s="87" t="s">
        <v>92</v>
      </c>
      <c r="G10" s="86"/>
      <c r="H10" s="132" t="s">
        <v>596</v>
      </c>
      <c r="I10" s="132" t="s">
        <v>639</v>
      </c>
      <c r="L10" s="117" t="s">
        <v>880</v>
      </c>
      <c r="N10" s="66">
        <v>948</v>
      </c>
      <c r="O10" s="66">
        <v>3170000</v>
      </c>
      <c r="P10" s="108">
        <f t="shared" si="0"/>
        <v>3343.8818565400843</v>
      </c>
    </row>
    <row r="11" spans="1:16" x14ac:dyDescent="0.3">
      <c r="A11" s="135" t="s">
        <v>79</v>
      </c>
      <c r="B11" s="135">
        <v>1</v>
      </c>
      <c r="D11" s="138" t="s">
        <v>105</v>
      </c>
      <c r="F11" s="135">
        <v>0.1</v>
      </c>
      <c r="H11" s="135">
        <v>0.54488563999999995</v>
      </c>
      <c r="I11" s="135">
        <v>0.5</v>
      </c>
      <c r="L11" s="117" t="s">
        <v>881</v>
      </c>
      <c r="N11" s="66">
        <v>502.69</v>
      </c>
      <c r="O11" s="66">
        <v>4030000</v>
      </c>
      <c r="P11" s="108">
        <f t="shared" si="0"/>
        <v>8016.8692434701306</v>
      </c>
    </row>
    <row r="12" spans="1:16" x14ac:dyDescent="0.3">
      <c r="A12" s="136" t="s">
        <v>80</v>
      </c>
      <c r="B12" s="135">
        <v>2</v>
      </c>
      <c r="D12" s="139" t="s">
        <v>91</v>
      </c>
      <c r="F12" s="135">
        <v>1</v>
      </c>
      <c r="H12" s="140">
        <v>5.4488564000000004</v>
      </c>
      <c r="I12" s="135">
        <v>5.5</v>
      </c>
      <c r="L12" s="117" t="s">
        <v>882</v>
      </c>
      <c r="N12" s="66">
        <v>52.5</v>
      </c>
      <c r="O12" s="66">
        <v>257000</v>
      </c>
      <c r="P12" s="108">
        <f t="shared" si="0"/>
        <v>4895.2380952380954</v>
      </c>
    </row>
    <row r="13" spans="1:16" x14ac:dyDescent="0.3">
      <c r="A13" s="137" t="s">
        <v>78</v>
      </c>
      <c r="B13" s="135">
        <v>3</v>
      </c>
      <c r="D13" s="138" t="s">
        <v>85</v>
      </c>
      <c r="F13" s="135">
        <v>10</v>
      </c>
      <c r="H13" s="140">
        <v>54.488563999999997</v>
      </c>
      <c r="I13" s="135">
        <v>55</v>
      </c>
      <c r="L13" s="117" t="s">
        <v>883</v>
      </c>
      <c r="N13" s="66">
        <v>142.87</v>
      </c>
      <c r="O13" s="66">
        <v>673000</v>
      </c>
      <c r="P13" s="108">
        <f t="shared" si="0"/>
        <v>4710.5760481556663</v>
      </c>
    </row>
    <row r="14" spans="1:16" x14ac:dyDescent="0.3">
      <c r="A14" s="137" t="s">
        <v>81</v>
      </c>
      <c r="B14" s="135">
        <v>4</v>
      </c>
      <c r="D14" s="138" t="s">
        <v>86</v>
      </c>
      <c r="F14" s="135">
        <v>100</v>
      </c>
      <c r="H14" s="140">
        <v>544.88563999999997</v>
      </c>
      <c r="I14" s="135">
        <v>550</v>
      </c>
      <c r="L14" s="117" t="s">
        <v>884</v>
      </c>
      <c r="N14" s="66">
        <v>227.63</v>
      </c>
      <c r="O14" s="66">
        <v>2700000</v>
      </c>
      <c r="P14" s="108">
        <f t="shared" si="0"/>
        <v>11861.353951588104</v>
      </c>
    </row>
    <row r="15" spans="1:16" x14ac:dyDescent="0.3">
      <c r="A15" s="137" t="s">
        <v>89</v>
      </c>
      <c r="B15" s="135">
        <v>5</v>
      </c>
      <c r="D15" s="138" t="s">
        <v>87</v>
      </c>
      <c r="F15" s="135">
        <v>1000</v>
      </c>
      <c r="H15" s="140">
        <v>5448.8564000000006</v>
      </c>
      <c r="I15" s="135">
        <v>5500</v>
      </c>
      <c r="L15" s="117" t="s">
        <v>885</v>
      </c>
      <c r="N15" s="66">
        <v>25.48</v>
      </c>
      <c r="O15" s="66">
        <v>71323</v>
      </c>
      <c r="P15" s="108">
        <f t="shared" si="0"/>
        <v>2799.1758241758243</v>
      </c>
    </row>
    <row r="16" spans="1:16" x14ac:dyDescent="0.3">
      <c r="A16" s="135" t="s">
        <v>90</v>
      </c>
      <c r="B16" s="135">
        <v>6</v>
      </c>
      <c r="D16" s="138" t="s">
        <v>88</v>
      </c>
      <c r="F16" s="135">
        <v>10000</v>
      </c>
      <c r="H16" s="140">
        <v>54488.563999999998</v>
      </c>
      <c r="I16" s="135">
        <v>55000</v>
      </c>
      <c r="L16" s="117" t="s">
        <v>886</v>
      </c>
      <c r="N16" s="66">
        <v>581</v>
      </c>
      <c r="O16" s="66">
        <v>372000</v>
      </c>
      <c r="P16" s="108">
        <f t="shared" si="0"/>
        <v>640.2753872633391</v>
      </c>
    </row>
    <row r="17" spans="1:16" x14ac:dyDescent="0.3">
      <c r="L17" s="117" t="s">
        <v>887</v>
      </c>
      <c r="N17" s="66">
        <v>33.58</v>
      </c>
      <c r="O17" s="66">
        <v>1630000</v>
      </c>
      <c r="P17" s="108">
        <f t="shared" si="0"/>
        <v>48540.798094103637</v>
      </c>
    </row>
    <row r="18" spans="1:16" x14ac:dyDescent="0.3">
      <c r="L18" s="117" t="s">
        <v>888</v>
      </c>
      <c r="N18" s="66">
        <v>426.26</v>
      </c>
      <c r="O18" s="66">
        <v>7500000</v>
      </c>
      <c r="P18" s="108">
        <f t="shared" si="0"/>
        <v>17594.895134424998</v>
      </c>
    </row>
    <row r="19" spans="1:16" x14ac:dyDescent="0.3">
      <c r="A19" s="5" t="s">
        <v>93</v>
      </c>
      <c r="L19" s="117" t="s">
        <v>889</v>
      </c>
      <c r="N19" s="66">
        <v>571</v>
      </c>
      <c r="O19" s="66">
        <v>17824</v>
      </c>
      <c r="P19" s="108">
        <f t="shared" si="0"/>
        <v>31.215411558669</v>
      </c>
    </row>
    <row r="20" spans="1:16" x14ac:dyDescent="0.3">
      <c r="B20" s="142" t="s">
        <v>599</v>
      </c>
      <c r="C20" s="142" t="s">
        <v>43</v>
      </c>
      <c r="D20" s="142" t="s">
        <v>719</v>
      </c>
      <c r="E20" s="142" t="s">
        <v>94</v>
      </c>
      <c r="F20" s="8" t="s">
        <v>598</v>
      </c>
      <c r="G20" s="8" t="s">
        <v>637</v>
      </c>
      <c r="L20" s="117" t="s">
        <v>891</v>
      </c>
      <c r="N20" s="66">
        <v>563</v>
      </c>
      <c r="O20" s="66">
        <v>9265</v>
      </c>
      <c r="P20" s="108">
        <f t="shared" si="0"/>
        <v>16.456483126110125</v>
      </c>
    </row>
    <row r="21" spans="1:16" x14ac:dyDescent="0.3">
      <c r="A21" s="117" t="s">
        <v>28</v>
      </c>
      <c r="B21" s="117">
        <v>0.94889000000000001</v>
      </c>
      <c r="C21" s="117">
        <v>0.93296999999999997</v>
      </c>
      <c r="D21" s="117">
        <v>0.89400000000000002</v>
      </c>
      <c r="E21" s="117">
        <v>0.86899999999999999</v>
      </c>
      <c r="F21" s="155">
        <v>1E-3</v>
      </c>
      <c r="G21" s="160">
        <f>F21*($B$31*B21+$C$31*C21+$D$31*D21+$E$31*E21)</f>
        <v>9.0937850000000003E-4</v>
      </c>
      <c r="L21" s="117" t="s">
        <v>890</v>
      </c>
      <c r="N21" s="66">
        <v>2573</v>
      </c>
      <c r="O21" s="66">
        <v>12738</v>
      </c>
      <c r="P21" s="108">
        <f t="shared" si="0"/>
        <v>4.9506412747765252</v>
      </c>
    </row>
    <row r="22" spans="1:16" x14ac:dyDescent="0.3">
      <c r="A22" s="117" t="s">
        <v>9</v>
      </c>
      <c r="B22" s="117">
        <v>2.1999999999999999E-2</v>
      </c>
      <c r="C22" s="117">
        <v>2.4E-2</v>
      </c>
      <c r="D22" s="117">
        <v>2.8000000000000001E-2</v>
      </c>
      <c r="E22" s="117">
        <v>0.03</v>
      </c>
      <c r="F22" s="155">
        <v>2.9000000000000001E-2</v>
      </c>
      <c r="G22" s="160">
        <f t="shared" ref="G22:G27" si="1">F22*($B$31*B22+$C$31*C22+$D$31*D22+$E$31*E22)</f>
        <v>7.6270000000000005E-4</v>
      </c>
      <c r="L22" s="117" t="s">
        <v>892</v>
      </c>
      <c r="N22" s="66">
        <v>53.4</v>
      </c>
      <c r="O22" s="66">
        <v>307</v>
      </c>
      <c r="P22" s="108">
        <f t="shared" si="0"/>
        <v>5.7490636704119851</v>
      </c>
    </row>
    <row r="23" spans="1:16" x14ac:dyDescent="0.3">
      <c r="A23" s="117" t="s">
        <v>8</v>
      </c>
      <c r="B23" s="117">
        <v>1.7999999999999999E-2</v>
      </c>
      <c r="C23" s="117">
        <v>0.02</v>
      </c>
      <c r="D23" s="117">
        <v>2.4E-2</v>
      </c>
      <c r="E23" s="117">
        <v>2.5000000000000001E-2</v>
      </c>
      <c r="F23" s="155">
        <v>0.45100000000000001</v>
      </c>
      <c r="G23" s="160">
        <f t="shared" si="1"/>
        <v>9.9896499999999992E-3</v>
      </c>
      <c r="L23" s="117" t="s">
        <v>893</v>
      </c>
      <c r="N23" s="66">
        <v>8607.44</v>
      </c>
      <c r="O23" s="66">
        <v>10995</v>
      </c>
      <c r="P23" s="108">
        <f t="shared" si="0"/>
        <v>1.2773832870168134</v>
      </c>
    </row>
    <row r="24" spans="1:16" x14ac:dyDescent="0.3">
      <c r="A24" s="117" t="s">
        <v>7</v>
      </c>
      <c r="B24" s="117">
        <v>0.01</v>
      </c>
      <c r="C24" s="117">
        <v>1.2E-2</v>
      </c>
      <c r="D24" s="117">
        <v>0.02</v>
      </c>
      <c r="E24" s="117">
        <v>2.1999999999999999E-2</v>
      </c>
      <c r="F24" s="155">
        <v>1.008</v>
      </c>
      <c r="G24" s="160">
        <f t="shared" si="1"/>
        <v>1.6632000000000001E-2</v>
      </c>
      <c r="L24" s="117" t="s">
        <v>894</v>
      </c>
      <c r="N24" s="66">
        <v>804</v>
      </c>
      <c r="O24" s="66">
        <v>1140000</v>
      </c>
      <c r="P24" s="108">
        <f t="shared" si="0"/>
        <v>1417.9104477611941</v>
      </c>
    </row>
    <row r="25" spans="1:16" x14ac:dyDescent="0.3">
      <c r="A25" s="117" t="s">
        <v>6</v>
      </c>
      <c r="B25" s="117">
        <v>1E-3</v>
      </c>
      <c r="C25" s="117">
        <v>0.01</v>
      </c>
      <c r="D25" s="117">
        <v>1.6E-2</v>
      </c>
      <c r="E25" s="117">
        <v>0.02</v>
      </c>
      <c r="F25" s="155">
        <v>2.5529999999999999</v>
      </c>
      <c r="G25" s="160">
        <f t="shared" si="1"/>
        <v>3.3189000000000003E-2</v>
      </c>
      <c r="L25" s="117" t="s">
        <v>895</v>
      </c>
      <c r="N25" s="66">
        <v>821</v>
      </c>
      <c r="O25" s="66">
        <v>1650000</v>
      </c>
      <c r="P25" s="108">
        <f t="shared" si="0"/>
        <v>2009.7442143727162</v>
      </c>
    </row>
    <row r="26" spans="1:16" x14ac:dyDescent="0.3">
      <c r="A26" s="117" t="s">
        <v>5</v>
      </c>
      <c r="B26" s="117">
        <v>1E-4</v>
      </c>
      <c r="C26" s="117">
        <v>1E-3</v>
      </c>
      <c r="D26" s="117">
        <v>1.2E-2</v>
      </c>
      <c r="E26" s="117">
        <v>1.7999999999999999E-2</v>
      </c>
      <c r="F26" s="155">
        <v>5.6909999999999998</v>
      </c>
      <c r="G26" s="160">
        <f t="shared" si="1"/>
        <v>4.4731260000000002E-2</v>
      </c>
      <c r="L26" s="117" t="s">
        <v>896</v>
      </c>
      <c r="N26" s="66">
        <v>1426</v>
      </c>
      <c r="O26" s="66">
        <v>734000</v>
      </c>
      <c r="P26" s="108">
        <f t="shared" si="0"/>
        <v>514.72650771388498</v>
      </c>
    </row>
    <row r="27" spans="1:16" x14ac:dyDescent="0.3">
      <c r="A27" s="117" t="s">
        <v>4</v>
      </c>
      <c r="B27" s="117">
        <v>1.0000000000000001E-5</v>
      </c>
      <c r="C27" s="117">
        <v>3.0000000000000001E-5</v>
      </c>
      <c r="D27" s="117">
        <v>6.0000000000000001E-3</v>
      </c>
      <c r="E27" s="117">
        <v>1.6E-2</v>
      </c>
      <c r="F27" s="155">
        <v>9.5969999999999995</v>
      </c>
      <c r="G27" s="160">
        <f t="shared" si="1"/>
        <v>4.6175965499999999E-2</v>
      </c>
    </row>
    <row r="28" spans="1:16" x14ac:dyDescent="0.3">
      <c r="F28" s="159"/>
      <c r="G28" s="141"/>
    </row>
    <row r="29" spans="1:16" x14ac:dyDescent="0.3">
      <c r="A29" s="117" t="s">
        <v>600</v>
      </c>
      <c r="B29" s="117">
        <f>SUM(B22:B26)</f>
        <v>5.11E-2</v>
      </c>
      <c r="C29" s="117">
        <f t="shared" ref="C29:D29" si="2">SUM(C22:C26)</f>
        <v>6.699999999999999E-2</v>
      </c>
      <c r="D29" s="117">
        <f t="shared" si="2"/>
        <v>0.1</v>
      </c>
      <c r="E29" s="117">
        <f>SUM(E22:E26)</f>
        <v>0.115</v>
      </c>
      <c r="F29" s="161" t="s">
        <v>714</v>
      </c>
      <c r="G29" s="160">
        <f>SUM(G21:G27)</f>
        <v>0.15238995399999999</v>
      </c>
      <c r="H29" s="1" t="s">
        <v>713</v>
      </c>
      <c r="I29" s="1"/>
    </row>
    <row r="30" spans="1:16" x14ac:dyDescent="0.3">
      <c r="B30" s="117">
        <f t="shared" ref="B30:E30" si="3">SUM(B21:B27)</f>
        <v>1</v>
      </c>
      <c r="C30" s="117">
        <f t="shared" si="3"/>
        <v>1</v>
      </c>
      <c r="D30" s="117">
        <f t="shared" si="3"/>
        <v>1</v>
      </c>
      <c r="E30" s="117">
        <f t="shared" si="3"/>
        <v>1</v>
      </c>
    </row>
    <row r="31" spans="1:16" x14ac:dyDescent="0.3">
      <c r="A31" s="117" t="s">
        <v>112</v>
      </c>
      <c r="B31" s="133">
        <v>0.1</v>
      </c>
      <c r="C31" s="133">
        <v>0.35</v>
      </c>
      <c r="D31" s="133">
        <v>0.4</v>
      </c>
      <c r="E31" s="133">
        <v>0.15</v>
      </c>
      <c r="F31" s="117" t="s">
        <v>706</v>
      </c>
    </row>
    <row r="34" spans="1:16" x14ac:dyDescent="0.3">
      <c r="A34" s="126" t="s">
        <v>643</v>
      </c>
      <c r="B34" s="126"/>
      <c r="C34" s="126" t="s">
        <v>640</v>
      </c>
      <c r="D34" s="126"/>
      <c r="E34" s="126"/>
    </row>
    <row r="35" spans="1:16" x14ac:dyDescent="0.3">
      <c r="A35" s="126" t="s">
        <v>638</v>
      </c>
      <c r="B35" s="133">
        <v>5</v>
      </c>
    </row>
    <row r="36" spans="1:16" x14ac:dyDescent="0.3">
      <c r="A36" s="126" t="s">
        <v>114</v>
      </c>
      <c r="B36" s="133">
        <v>0.5</v>
      </c>
      <c r="F36" s="86"/>
      <c r="G36" s="86"/>
      <c r="H36" s="86"/>
    </row>
    <row r="37" spans="1:16" x14ac:dyDescent="0.3">
      <c r="F37" s="128"/>
      <c r="G37" s="128"/>
      <c r="H37" s="128"/>
    </row>
    <row r="38" spans="1:16" x14ac:dyDescent="0.3">
      <c r="A38" s="117" t="s">
        <v>28</v>
      </c>
      <c r="B38" s="1">
        <f t="shared" ref="B38:B44" si="4">($B$35*$B$36)*G21</f>
        <v>2.27344625E-3</v>
      </c>
      <c r="C38" s="1"/>
      <c r="D38" s="1"/>
      <c r="E38" s="1"/>
      <c r="F38" s="1"/>
      <c r="G38" s="1"/>
      <c r="J38" s="1"/>
      <c r="K38" s="1"/>
      <c r="L38" s="1"/>
      <c r="P38" s="1"/>
    </row>
    <row r="39" spans="1:16" x14ac:dyDescent="0.3">
      <c r="A39" s="117" t="s">
        <v>9</v>
      </c>
      <c r="B39" s="1">
        <f t="shared" si="4"/>
        <v>1.90675E-3</v>
      </c>
      <c r="C39" s="1"/>
      <c r="D39" s="1"/>
      <c r="E39" s="1"/>
      <c r="F39" s="1"/>
      <c r="G39" s="1"/>
      <c r="J39" s="1"/>
      <c r="K39" s="1"/>
      <c r="L39" s="1"/>
      <c r="P39" s="1"/>
    </row>
    <row r="40" spans="1:16" x14ac:dyDescent="0.3">
      <c r="A40" s="117" t="s">
        <v>8</v>
      </c>
      <c r="B40" s="1">
        <f t="shared" si="4"/>
        <v>2.4974125E-2</v>
      </c>
      <c r="C40" s="1"/>
      <c r="D40" s="1"/>
      <c r="E40" s="1"/>
      <c r="F40" s="1"/>
      <c r="G40" s="1"/>
      <c r="J40" s="1"/>
      <c r="K40" s="1"/>
      <c r="L40" s="1"/>
      <c r="P40" s="1"/>
    </row>
    <row r="41" spans="1:16" x14ac:dyDescent="0.3">
      <c r="A41" s="117" t="s">
        <v>7</v>
      </c>
      <c r="B41" s="1">
        <f t="shared" si="4"/>
        <v>4.1580000000000006E-2</v>
      </c>
      <c r="C41" s="1"/>
      <c r="D41" s="1"/>
      <c r="E41" s="1"/>
      <c r="F41" s="1"/>
      <c r="G41" s="1"/>
      <c r="J41" s="1"/>
      <c r="K41" s="1"/>
      <c r="L41" s="1"/>
      <c r="P41" s="1"/>
    </row>
    <row r="42" spans="1:16" x14ac:dyDescent="0.3">
      <c r="A42" s="117" t="s">
        <v>6</v>
      </c>
      <c r="B42" s="1">
        <f t="shared" si="4"/>
        <v>8.2972500000000005E-2</v>
      </c>
      <c r="C42" s="1"/>
      <c r="D42" s="1"/>
      <c r="E42" s="1"/>
      <c r="F42" s="1"/>
      <c r="G42" s="1"/>
      <c r="J42" s="1"/>
      <c r="K42" s="1"/>
      <c r="L42" s="1"/>
      <c r="P42" s="1"/>
    </row>
    <row r="43" spans="1:16" x14ac:dyDescent="0.3">
      <c r="A43" s="117" t="s">
        <v>5</v>
      </c>
      <c r="B43" s="1">
        <f t="shared" si="4"/>
        <v>0.11182815</v>
      </c>
      <c r="C43" s="1"/>
      <c r="D43" s="1"/>
      <c r="E43" s="1"/>
      <c r="F43" s="1"/>
      <c r="G43" s="1"/>
      <c r="J43" s="1"/>
      <c r="K43" s="1"/>
      <c r="L43" s="1"/>
      <c r="P43" s="1"/>
    </row>
    <row r="44" spans="1:16" x14ac:dyDescent="0.3">
      <c r="A44" s="117" t="s">
        <v>4</v>
      </c>
      <c r="B44" s="1">
        <f t="shared" si="4"/>
        <v>0.11543991375</v>
      </c>
      <c r="C44" s="1"/>
      <c r="D44" s="86" t="s">
        <v>420</v>
      </c>
      <c r="E44" s="86"/>
      <c r="F44" s="86"/>
      <c r="G44" s="86"/>
      <c r="H44" s="86"/>
      <c r="J44" s="1"/>
      <c r="K44" s="1"/>
      <c r="L44" s="1"/>
      <c r="P44" s="1"/>
    </row>
    <row r="45" spans="1:16" x14ac:dyDescent="0.3">
      <c r="B45" s="1"/>
      <c r="C45" s="1"/>
      <c r="D45" s="87" t="s">
        <v>641</v>
      </c>
      <c r="E45" s="87" t="s">
        <v>632</v>
      </c>
      <c r="F45" s="87" t="s">
        <v>633</v>
      </c>
      <c r="G45" s="128"/>
      <c r="H45" s="128"/>
      <c r="J45" s="1"/>
      <c r="K45" s="1"/>
      <c r="L45" s="1"/>
      <c r="P45" s="1"/>
    </row>
    <row r="46" spans="1:16" x14ac:dyDescent="0.3">
      <c r="A46" s="117" t="s">
        <v>642</v>
      </c>
      <c r="B46" s="134">
        <f>SUM(B38:B44)</f>
        <v>0.38097488500000004</v>
      </c>
      <c r="C46" s="1"/>
      <c r="D46" s="157">
        <v>3300000</v>
      </c>
      <c r="E46" s="157">
        <v>33500000</v>
      </c>
      <c r="F46" s="157">
        <v>335000000</v>
      </c>
      <c r="G46" s="1" t="s">
        <v>705</v>
      </c>
      <c r="H46" s="1"/>
      <c r="J46" s="1"/>
      <c r="K46" s="1"/>
      <c r="L46" s="1"/>
      <c r="P46" s="1"/>
    </row>
    <row r="48" spans="1:16" x14ac:dyDescent="0.3">
      <c r="C48" s="117" t="s">
        <v>644</v>
      </c>
    </row>
    <row r="49" spans="2:7" x14ac:dyDescent="0.3">
      <c r="C49" s="117" t="s">
        <v>707</v>
      </c>
    </row>
    <row r="50" spans="2:7" x14ac:dyDescent="0.3">
      <c r="B50" s="162" t="s">
        <v>718</v>
      </c>
      <c r="C50" s="5" t="s">
        <v>715</v>
      </c>
      <c r="D50" s="5"/>
      <c r="E50" s="5"/>
      <c r="F50" s="5"/>
    </row>
    <row r="51" spans="2:7" x14ac:dyDescent="0.3">
      <c r="C51" s="163" t="s">
        <v>717</v>
      </c>
      <c r="D51" s="116" t="s">
        <v>43</v>
      </c>
      <c r="E51" s="116" t="s">
        <v>719</v>
      </c>
      <c r="F51" s="116" t="s">
        <v>716</v>
      </c>
    </row>
    <row r="52" spans="2:7" x14ac:dyDescent="0.3">
      <c r="C52" s="164">
        <f t="shared" ref="C52:E52" si="5">$B$35*$B$36*B21*$F$21+$B$35*$B$36*B22*$F$22+$B$35*$B$36*B23*$F$23+$B$35*$B$36*B24*$F$24+$B$35*$B$36*B25*$F$25+$B$35*$B$36*B26*$F$26*$B$35*$B$36*B27*$F$27</f>
        <v>5.5845066353293747E-2</v>
      </c>
      <c r="D52" s="164">
        <f t="shared" si="5"/>
        <v>0.12069766559881251</v>
      </c>
      <c r="E52" s="164">
        <f t="shared" si="5"/>
        <v>0.20842243714999997</v>
      </c>
      <c r="F52" s="164">
        <f>$B$35*$B$36*E21*$F$21+$B$35*$B$36*E22*$F$22+$B$35*$B$36*E23*$F$23+$B$35*$B$36*E24*$F$24+$B$35*$B$36*E25*$F$25+$B$35*$B$36*E26*$F$26*$B$35*$B$36*E27*$F$27</f>
        <v>0.31393474859999998</v>
      </c>
      <c r="G52" s="117" t="s">
        <v>722</v>
      </c>
    </row>
    <row r="53" spans="2:7" x14ac:dyDescent="0.3">
      <c r="C53" s="109" t="s">
        <v>680</v>
      </c>
      <c r="D53" s="109" t="s">
        <v>720</v>
      </c>
      <c r="E53" s="109" t="s">
        <v>721</v>
      </c>
      <c r="F53" s="109" t="s">
        <v>681</v>
      </c>
      <c r="G53" s="103" t="s">
        <v>723</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000A3-58AA-4959-8F88-2F78D22C41BA}">
  <dimension ref="A1:P53"/>
  <sheetViews>
    <sheetView topLeftCell="D22" workbookViewId="0">
      <selection activeCell="S20" sqref="S20"/>
    </sheetView>
  </sheetViews>
  <sheetFormatPr defaultColWidth="9.109375" defaultRowHeight="14.4" x14ac:dyDescent="0.3"/>
  <cols>
    <col min="1" max="1" width="13.88671875" style="178" customWidth="1"/>
    <col min="2" max="2" width="14.5546875" style="178" customWidth="1"/>
    <col min="3" max="3" width="11.5546875" style="178" customWidth="1"/>
    <col min="4" max="4" width="11.109375" style="178" customWidth="1"/>
    <col min="5" max="5" width="16.21875" style="178" customWidth="1"/>
    <col min="6" max="6" width="16.33203125" style="178" customWidth="1"/>
    <col min="7" max="7" width="12" style="178" customWidth="1"/>
    <col min="8" max="8" width="13.5546875" style="178" customWidth="1"/>
    <col min="9" max="9" width="11.33203125" style="178" customWidth="1"/>
    <col min="10" max="10" width="12.109375" style="178" customWidth="1"/>
    <col min="11" max="11" width="35.77734375" style="178" customWidth="1"/>
    <col min="12" max="12" width="11.33203125" style="178" customWidth="1"/>
    <col min="13" max="13" width="9.33203125" style="178" bestFit="1" customWidth="1"/>
    <col min="14" max="14" width="12.109375" style="66" bestFit="1" customWidth="1"/>
    <col min="15" max="15" width="9.5546875" style="66" bestFit="1" customWidth="1"/>
    <col min="16" max="16" width="9.5546875" style="178" bestFit="1" customWidth="1"/>
    <col min="17" max="17" width="10.6640625" style="178" customWidth="1"/>
    <col min="18" max="16384" width="9.109375" style="178"/>
  </cols>
  <sheetData>
    <row r="1" spans="1:16" x14ac:dyDescent="0.3">
      <c r="A1" s="86" t="s">
        <v>68</v>
      </c>
    </row>
    <row r="2" spans="1:16" x14ac:dyDescent="0.3">
      <c r="A2" s="143" t="s">
        <v>646</v>
      </c>
    </row>
    <row r="3" spans="1:16" x14ac:dyDescent="0.3">
      <c r="A3" s="86"/>
      <c r="B3" s="178" t="s">
        <v>645</v>
      </c>
    </row>
    <row r="4" spans="1:16" x14ac:dyDescent="0.3">
      <c r="A4" s="86"/>
      <c r="B4" s="178" t="s">
        <v>647</v>
      </c>
    </row>
    <row r="5" spans="1:16" x14ac:dyDescent="0.3">
      <c r="A5" s="86"/>
      <c r="B5" s="178" t="s">
        <v>648</v>
      </c>
    </row>
    <row r="6" spans="1:16" x14ac:dyDescent="0.3">
      <c r="A6" s="86"/>
      <c r="B6" s="178" t="s">
        <v>662</v>
      </c>
      <c r="P6" s="108"/>
    </row>
    <row r="7" spans="1:16" x14ac:dyDescent="0.3">
      <c r="A7" s="86"/>
      <c r="B7" s="178" t="s">
        <v>649</v>
      </c>
      <c r="P7" s="108"/>
    </row>
    <row r="8" spans="1:16" x14ac:dyDescent="0.3">
      <c r="H8" s="86" t="s">
        <v>595</v>
      </c>
      <c r="P8" s="108"/>
    </row>
    <row r="9" spans="1:16" x14ac:dyDescent="0.3">
      <c r="A9" s="86" t="s">
        <v>70</v>
      </c>
      <c r="B9" s="86"/>
      <c r="D9" s="86" t="s">
        <v>83</v>
      </c>
      <c r="E9" s="86"/>
      <c r="F9" s="86" t="s">
        <v>106</v>
      </c>
      <c r="G9" s="86"/>
      <c r="H9" s="86" t="s">
        <v>597</v>
      </c>
      <c r="I9" s="86"/>
      <c r="P9" s="108"/>
    </row>
    <row r="10" spans="1:16" x14ac:dyDescent="0.3">
      <c r="A10" s="87" t="s">
        <v>77</v>
      </c>
      <c r="B10" s="87" t="s">
        <v>82</v>
      </c>
      <c r="D10" s="87" t="s">
        <v>84</v>
      </c>
      <c r="E10" s="86"/>
      <c r="F10" s="87" t="s">
        <v>92</v>
      </c>
      <c r="G10" s="86"/>
      <c r="H10" s="132" t="s">
        <v>596</v>
      </c>
      <c r="I10" s="132" t="s">
        <v>639</v>
      </c>
      <c r="P10" s="108"/>
    </row>
    <row r="11" spans="1:16" x14ac:dyDescent="0.3">
      <c r="A11" s="135" t="s">
        <v>79</v>
      </c>
      <c r="B11" s="135">
        <v>1</v>
      </c>
      <c r="D11" s="138" t="s">
        <v>105</v>
      </c>
      <c r="F11" s="135">
        <v>0.1</v>
      </c>
      <c r="H11" s="135">
        <v>0.54488563999999995</v>
      </c>
      <c r="I11" s="135">
        <v>0.5</v>
      </c>
      <c r="P11" s="108"/>
    </row>
    <row r="12" spans="1:16" x14ac:dyDescent="0.3">
      <c r="A12" s="136" t="s">
        <v>80</v>
      </c>
      <c r="B12" s="135">
        <v>2</v>
      </c>
      <c r="D12" s="139" t="s">
        <v>91</v>
      </c>
      <c r="F12" s="135">
        <v>1</v>
      </c>
      <c r="H12" s="140">
        <v>5.4488564000000004</v>
      </c>
      <c r="I12" s="135">
        <v>5.5</v>
      </c>
      <c r="P12" s="108"/>
    </row>
    <row r="13" spans="1:16" x14ac:dyDescent="0.3">
      <c r="A13" s="137" t="s">
        <v>78</v>
      </c>
      <c r="B13" s="135">
        <v>3</v>
      </c>
      <c r="D13" s="138" t="s">
        <v>85</v>
      </c>
      <c r="F13" s="135">
        <v>10</v>
      </c>
      <c r="H13" s="140">
        <v>54.488563999999997</v>
      </c>
      <c r="I13" s="135">
        <v>55</v>
      </c>
      <c r="P13" s="108"/>
    </row>
    <row r="14" spans="1:16" x14ac:dyDescent="0.3">
      <c r="A14" s="137" t="s">
        <v>81</v>
      </c>
      <c r="B14" s="135">
        <v>4</v>
      </c>
      <c r="D14" s="138" t="s">
        <v>86</v>
      </c>
      <c r="F14" s="135">
        <v>100</v>
      </c>
      <c r="H14" s="140">
        <v>544.88563999999997</v>
      </c>
      <c r="I14" s="135">
        <v>550</v>
      </c>
      <c r="P14" s="108"/>
    </row>
    <row r="15" spans="1:16" x14ac:dyDescent="0.3">
      <c r="A15" s="137" t="s">
        <v>89</v>
      </c>
      <c r="B15" s="135">
        <v>5</v>
      </c>
      <c r="D15" s="138" t="s">
        <v>87</v>
      </c>
      <c r="F15" s="135">
        <v>1000</v>
      </c>
      <c r="H15" s="140">
        <v>5448.8564000000006</v>
      </c>
      <c r="I15" s="135">
        <v>5500</v>
      </c>
      <c r="P15" s="108"/>
    </row>
    <row r="16" spans="1:16" x14ac:dyDescent="0.3">
      <c r="A16" s="135" t="s">
        <v>90</v>
      </c>
      <c r="B16" s="135">
        <v>6</v>
      </c>
      <c r="D16" s="138" t="s">
        <v>88</v>
      </c>
      <c r="F16" s="135">
        <v>10000</v>
      </c>
      <c r="H16" s="140">
        <v>54488.563999999998</v>
      </c>
      <c r="I16" s="135">
        <v>55000</v>
      </c>
      <c r="P16" s="108"/>
    </row>
    <row r="17" spans="1:16" x14ac:dyDescent="0.3">
      <c r="P17" s="108"/>
    </row>
    <row r="18" spans="1:16" x14ac:dyDescent="0.3">
      <c r="P18" s="108"/>
    </row>
    <row r="19" spans="1:16" x14ac:dyDescent="0.3">
      <c r="A19" s="5" t="s">
        <v>93</v>
      </c>
      <c r="P19" s="108"/>
    </row>
    <row r="20" spans="1:16" x14ac:dyDescent="0.3">
      <c r="B20" s="142" t="s">
        <v>599</v>
      </c>
      <c r="C20" s="142" t="s">
        <v>43</v>
      </c>
      <c r="D20" s="142" t="s">
        <v>719</v>
      </c>
      <c r="E20" s="142" t="s">
        <v>94</v>
      </c>
      <c r="F20" s="8" t="s">
        <v>598</v>
      </c>
      <c r="G20" s="8" t="s">
        <v>637</v>
      </c>
      <c r="H20" s="211" t="s">
        <v>931</v>
      </c>
      <c r="I20" s="211" t="s">
        <v>933</v>
      </c>
      <c r="P20" s="108"/>
    </row>
    <row r="21" spans="1:16" x14ac:dyDescent="0.3">
      <c r="A21" s="178" t="s">
        <v>28</v>
      </c>
      <c r="B21" s="178">
        <v>0.94889000000000001</v>
      </c>
      <c r="C21" s="178">
        <v>0.93296999999999997</v>
      </c>
      <c r="D21" s="178">
        <v>0.89400000000000002</v>
      </c>
      <c r="E21" s="178">
        <v>0.86899999999999999</v>
      </c>
      <c r="F21" s="178">
        <v>1E-3</v>
      </c>
      <c r="G21" s="160">
        <f>F21*($B$31*B21+$C$31*C21+$D$31*D21+$E$31*E21)</f>
        <v>9.4169384000000018E-4</v>
      </c>
      <c r="H21" s="178" t="s">
        <v>932</v>
      </c>
      <c r="I21" s="178">
        <f>$B$31*B21+$C$31*C21+$D$31*D21+$E$31*E21</f>
        <v>0.94169384000000012</v>
      </c>
      <c r="J21" s="178">
        <f>1/I21</f>
        <v>1.061916259322669</v>
      </c>
      <c r="K21" s="178" t="s">
        <v>904</v>
      </c>
      <c r="P21" s="108"/>
    </row>
    <row r="22" spans="1:16" x14ac:dyDescent="0.3">
      <c r="A22" s="178" t="s">
        <v>9</v>
      </c>
      <c r="B22" s="178">
        <v>2.1999999999999999E-2</v>
      </c>
      <c r="C22" s="178">
        <v>2.4E-2</v>
      </c>
      <c r="D22" s="178">
        <v>2.8000000000000001E-2</v>
      </c>
      <c r="E22" s="178">
        <v>0.03</v>
      </c>
      <c r="F22" s="178">
        <v>2.9000000000000001E-2</v>
      </c>
      <c r="G22" s="160">
        <f t="shared" ref="G22:G27" si="0">F22*($B$31*B22+$C$31*C22+$D$31*D22+$E$31*E22)</f>
        <v>6.6114199999999998E-4</v>
      </c>
      <c r="H22" s="178" t="s">
        <v>9</v>
      </c>
      <c r="I22" s="178">
        <f t="shared" ref="I22:I27" si="1">$B$31*B22+$C$31*C22+$D$31*D22+$E$31*E22</f>
        <v>2.2797999999999999E-2</v>
      </c>
      <c r="J22" s="178">
        <f t="shared" ref="J22:J27" si="2">1/I22</f>
        <v>43.863496797964736</v>
      </c>
      <c r="K22" s="241" t="s">
        <v>903</v>
      </c>
      <c r="P22" s="108"/>
    </row>
    <row r="23" spans="1:16" x14ac:dyDescent="0.3">
      <c r="A23" s="178" t="s">
        <v>8</v>
      </c>
      <c r="B23" s="178">
        <v>1.7999999999999999E-2</v>
      </c>
      <c r="C23" s="178">
        <v>0.02</v>
      </c>
      <c r="D23" s="178">
        <v>2.4E-2</v>
      </c>
      <c r="E23" s="178">
        <v>2.5000000000000001E-2</v>
      </c>
      <c r="F23" s="178">
        <v>0.45100000000000001</v>
      </c>
      <c r="G23" s="160">
        <f t="shared" si="0"/>
        <v>8.4657210000000007E-3</v>
      </c>
      <c r="H23" s="178" t="s">
        <v>8</v>
      </c>
      <c r="I23" s="178">
        <f t="shared" si="1"/>
        <v>1.8770999999999999E-2</v>
      </c>
      <c r="J23" s="178">
        <f t="shared" si="2"/>
        <v>53.27366682648767</v>
      </c>
      <c r="K23" s="178" t="s">
        <v>903</v>
      </c>
      <c r="P23" s="108"/>
    </row>
    <row r="24" spans="1:16" x14ac:dyDescent="0.3">
      <c r="A24" s="178" t="s">
        <v>7</v>
      </c>
      <c r="B24" s="178">
        <v>0.01</v>
      </c>
      <c r="C24" s="178">
        <v>1.2E-2</v>
      </c>
      <c r="D24" s="178">
        <v>0.02</v>
      </c>
      <c r="E24" s="178">
        <v>2.1999999999999999E-2</v>
      </c>
      <c r="F24" s="178">
        <v>1.008</v>
      </c>
      <c r="G24" s="160">
        <f t="shared" si="0"/>
        <v>1.1223072000000002E-2</v>
      </c>
      <c r="H24" s="178" t="s">
        <v>7</v>
      </c>
      <c r="I24" s="178">
        <f t="shared" si="1"/>
        <v>1.1134000000000002E-2</v>
      </c>
      <c r="J24" s="178">
        <f t="shared" si="2"/>
        <v>89.814981138853952</v>
      </c>
      <c r="K24" s="178" t="s">
        <v>905</v>
      </c>
      <c r="P24" s="108"/>
    </row>
    <row r="25" spans="1:16" x14ac:dyDescent="0.3">
      <c r="A25" s="178" t="s">
        <v>6</v>
      </c>
      <c r="B25" s="178">
        <v>1E-3</v>
      </c>
      <c r="C25" s="178">
        <v>0.01</v>
      </c>
      <c r="D25" s="178">
        <v>1.6E-2</v>
      </c>
      <c r="E25" s="178">
        <v>0.02</v>
      </c>
      <c r="F25" s="178">
        <v>2.5529999999999999</v>
      </c>
      <c r="G25" s="160">
        <f t="shared" si="0"/>
        <v>8.8027439999999995E-3</v>
      </c>
      <c r="H25" s="178" t="s">
        <v>6</v>
      </c>
      <c r="I25" s="178">
        <f t="shared" si="1"/>
        <v>3.4480000000000001E-3</v>
      </c>
      <c r="J25" s="178">
        <f t="shared" si="2"/>
        <v>290.02320185614849</v>
      </c>
      <c r="K25" s="178" t="s">
        <v>906</v>
      </c>
      <c r="P25" s="108"/>
    </row>
    <row r="26" spans="1:16" x14ac:dyDescent="0.3">
      <c r="A26" s="178" t="s">
        <v>5</v>
      </c>
      <c r="B26" s="178">
        <v>1E-4</v>
      </c>
      <c r="C26" s="178">
        <v>1E-3</v>
      </c>
      <c r="D26" s="178">
        <v>1.2E-2</v>
      </c>
      <c r="E26" s="178">
        <v>1.7999999999999999E-2</v>
      </c>
      <c r="F26" s="178">
        <v>5.6909999999999998</v>
      </c>
      <c r="G26" s="160">
        <f t="shared" si="0"/>
        <v>7.7943935999999995E-3</v>
      </c>
      <c r="H26" s="178" t="s">
        <v>5</v>
      </c>
      <c r="I26" s="178">
        <f t="shared" si="1"/>
        <v>1.3695999999999999E-3</v>
      </c>
      <c r="J26" s="178">
        <f t="shared" si="2"/>
        <v>730.14018691588785</v>
      </c>
      <c r="K26" s="178" t="s">
        <v>901</v>
      </c>
      <c r="P26" s="108"/>
    </row>
    <row r="27" spans="1:16" x14ac:dyDescent="0.3">
      <c r="A27" s="178" t="s">
        <v>4</v>
      </c>
      <c r="B27" s="178">
        <v>1.0000000000000001E-5</v>
      </c>
      <c r="C27" s="178">
        <v>3.0000000000000001E-5</v>
      </c>
      <c r="D27" s="178">
        <v>6.0000000000000001E-3</v>
      </c>
      <c r="E27" s="178">
        <v>1.6E-2</v>
      </c>
      <c r="F27" s="178">
        <v>9.5969999999999995</v>
      </c>
      <c r="G27" s="160">
        <f t="shared" si="0"/>
        <v>7.5390193199999997E-3</v>
      </c>
      <c r="H27" s="178" t="s">
        <v>4</v>
      </c>
      <c r="I27" s="178">
        <f t="shared" si="1"/>
        <v>7.8556000000000003E-4</v>
      </c>
      <c r="J27" s="178">
        <f t="shared" si="2"/>
        <v>1272.9772391669637</v>
      </c>
      <c r="K27" s="178" t="s">
        <v>902</v>
      </c>
      <c r="P27" s="108"/>
    </row>
    <row r="28" spans="1:16" x14ac:dyDescent="0.3">
      <c r="F28" s="159"/>
      <c r="G28" s="141"/>
      <c r="L28" s="178" t="s">
        <v>1042</v>
      </c>
    </row>
    <row r="29" spans="1:16" x14ac:dyDescent="0.3">
      <c r="A29" s="178" t="s">
        <v>600</v>
      </c>
      <c r="B29" s="178">
        <f>SUM(B22:B26)</f>
        <v>5.11E-2</v>
      </c>
      <c r="C29" s="178">
        <f t="shared" ref="C29:D29" si="3">SUM(C22:C26)</f>
        <v>6.699999999999999E-2</v>
      </c>
      <c r="D29" s="178">
        <f t="shared" si="3"/>
        <v>0.1</v>
      </c>
      <c r="E29" s="178">
        <f>SUM(E22:E26)</f>
        <v>0.115</v>
      </c>
      <c r="F29" s="161" t="s">
        <v>714</v>
      </c>
      <c r="G29" s="160">
        <f>SUM(G21:G27)</f>
        <v>4.5427785759999999E-2</v>
      </c>
      <c r="H29" s="1" t="s">
        <v>713</v>
      </c>
      <c r="I29" s="1"/>
      <c r="L29" s="178">
        <f>21/32</f>
        <v>0.65625</v>
      </c>
      <c r="M29" s="178">
        <v>0.66</v>
      </c>
    </row>
    <row r="30" spans="1:16" x14ac:dyDescent="0.3">
      <c r="B30" s="178">
        <f t="shared" ref="B30:E30" si="4">SUM(B21:B27)</f>
        <v>1</v>
      </c>
      <c r="C30" s="178">
        <f t="shared" si="4"/>
        <v>1</v>
      </c>
      <c r="D30" s="178">
        <f t="shared" si="4"/>
        <v>1</v>
      </c>
      <c r="E30" s="178">
        <f t="shared" si="4"/>
        <v>1</v>
      </c>
      <c r="L30" s="178">
        <f>6/32</f>
        <v>0.1875</v>
      </c>
      <c r="M30" s="178">
        <v>0.19</v>
      </c>
    </row>
    <row r="31" spans="1:16" x14ac:dyDescent="0.3">
      <c r="A31" s="178" t="s">
        <v>112</v>
      </c>
      <c r="B31" s="133">
        <v>0.79600000000000004</v>
      </c>
      <c r="C31" s="133">
        <v>0.12</v>
      </c>
      <c r="D31" s="133">
        <v>5.7000000000000002E-2</v>
      </c>
      <c r="E31" s="133">
        <v>2.7E-2</v>
      </c>
      <c r="F31" s="178" t="s">
        <v>706</v>
      </c>
      <c r="L31" s="178">
        <f>3/32</f>
        <v>9.375E-2</v>
      </c>
      <c r="M31" s="178">
        <v>0.09</v>
      </c>
    </row>
    <row r="32" spans="1:16" x14ac:dyDescent="0.3">
      <c r="E32" s="1">
        <f>SUM(B31:E31)</f>
        <v>1</v>
      </c>
      <c r="F32" s="5" t="s">
        <v>899</v>
      </c>
      <c r="L32" s="178">
        <f>2/32</f>
        <v>6.25E-2</v>
      </c>
      <c r="M32" s="178">
        <v>0.06</v>
      </c>
    </row>
    <row r="34" spans="1:16" x14ac:dyDescent="0.3">
      <c r="A34" s="126" t="s">
        <v>643</v>
      </c>
      <c r="B34" s="126"/>
      <c r="C34" s="126" t="s">
        <v>640</v>
      </c>
      <c r="D34" s="126"/>
      <c r="E34" s="126"/>
    </row>
    <row r="35" spans="1:16" x14ac:dyDescent="0.3">
      <c r="A35" s="126" t="s">
        <v>638</v>
      </c>
      <c r="B35" s="133">
        <v>5</v>
      </c>
    </row>
    <row r="36" spans="1:16" x14ac:dyDescent="0.3">
      <c r="A36" s="126" t="s">
        <v>114</v>
      </c>
      <c r="B36" s="133">
        <v>544.9</v>
      </c>
      <c r="F36" s="86"/>
      <c r="G36" s="86"/>
      <c r="H36" s="86"/>
    </row>
    <row r="37" spans="1:16" x14ac:dyDescent="0.3">
      <c r="F37" s="128"/>
      <c r="G37" s="128"/>
      <c r="H37" s="128"/>
    </row>
    <row r="38" spans="1:16" x14ac:dyDescent="0.3">
      <c r="A38" s="178" t="s">
        <v>28</v>
      </c>
      <c r="B38" s="1">
        <f t="shared" ref="B38:B44" si="5">($B$35*$B$36)*G21</f>
        <v>2.5656448670800005</v>
      </c>
      <c r="C38" s="1"/>
      <c r="D38" s="1"/>
      <c r="E38" s="1"/>
      <c r="F38" s="1"/>
      <c r="G38" s="1"/>
      <c r="J38" s="1"/>
      <c r="K38" s="1"/>
      <c r="L38" s="1"/>
      <c r="P38" s="1"/>
    </row>
    <row r="39" spans="1:16" x14ac:dyDescent="0.3">
      <c r="A39" s="178" t="s">
        <v>9</v>
      </c>
      <c r="B39" s="1">
        <f t="shared" si="5"/>
        <v>1.801281379</v>
      </c>
      <c r="C39" s="1"/>
      <c r="D39" s="1"/>
      <c r="E39" s="1"/>
      <c r="F39" s="1"/>
      <c r="G39" s="1"/>
      <c r="J39" s="1"/>
      <c r="K39" s="1"/>
      <c r="L39" s="1"/>
      <c r="P39" s="1"/>
    </row>
    <row r="40" spans="1:16" x14ac:dyDescent="0.3">
      <c r="A40" s="178" t="s">
        <v>8</v>
      </c>
      <c r="B40" s="1">
        <f t="shared" si="5"/>
        <v>23.064856864500001</v>
      </c>
      <c r="C40" s="1"/>
      <c r="D40" s="1"/>
      <c r="E40" s="1"/>
      <c r="F40" s="1"/>
      <c r="G40" s="1"/>
      <c r="J40" s="1"/>
      <c r="K40" s="1"/>
      <c r="L40" s="1"/>
      <c r="P40" s="1"/>
    </row>
    <row r="41" spans="1:16" x14ac:dyDescent="0.3">
      <c r="A41" s="178" t="s">
        <v>7</v>
      </c>
      <c r="B41" s="1">
        <f t="shared" si="5"/>
        <v>30.577259664000007</v>
      </c>
      <c r="C41" s="1"/>
      <c r="D41" s="1"/>
      <c r="E41" s="1"/>
      <c r="F41" s="1"/>
      <c r="G41" s="1"/>
      <c r="J41" s="1"/>
      <c r="K41" s="1"/>
      <c r="L41" s="1"/>
      <c r="P41" s="1"/>
    </row>
    <row r="42" spans="1:16" x14ac:dyDescent="0.3">
      <c r="A42" s="178" t="s">
        <v>6</v>
      </c>
      <c r="B42" s="1">
        <f t="shared" si="5"/>
        <v>23.983076027999999</v>
      </c>
      <c r="C42" s="1"/>
      <c r="D42" s="1"/>
      <c r="E42" s="1"/>
      <c r="F42" s="1"/>
      <c r="G42" s="1"/>
      <c r="J42" s="1"/>
      <c r="K42" s="1"/>
      <c r="L42" s="1"/>
      <c r="P42" s="1"/>
    </row>
    <row r="43" spans="1:16" x14ac:dyDescent="0.3">
      <c r="A43" s="178" t="s">
        <v>5</v>
      </c>
      <c r="B43" s="1">
        <f t="shared" si="5"/>
        <v>21.2358253632</v>
      </c>
      <c r="C43" s="1"/>
      <c r="D43" s="1"/>
      <c r="E43" s="1"/>
      <c r="F43" s="1"/>
      <c r="G43" s="1"/>
      <c r="J43" s="1"/>
      <c r="K43" s="1"/>
      <c r="L43" s="1"/>
      <c r="P43" s="1"/>
    </row>
    <row r="44" spans="1:16" x14ac:dyDescent="0.3">
      <c r="A44" s="178" t="s">
        <v>4</v>
      </c>
      <c r="B44" s="1">
        <f t="shared" si="5"/>
        <v>20.540058137340001</v>
      </c>
      <c r="C44" s="1"/>
      <c r="D44" s="86" t="s">
        <v>420</v>
      </c>
      <c r="E44" s="86"/>
      <c r="F44" s="86"/>
      <c r="G44" s="86"/>
      <c r="H44" s="86"/>
      <c r="J44" s="1"/>
      <c r="K44" s="1"/>
      <c r="L44" s="1"/>
      <c r="P44" s="1"/>
    </row>
    <row r="45" spans="1:16" x14ac:dyDescent="0.3">
      <c r="B45" s="1"/>
      <c r="C45" s="1"/>
      <c r="D45" s="87" t="s">
        <v>641</v>
      </c>
      <c r="E45" s="87" t="s">
        <v>632</v>
      </c>
      <c r="F45" s="87" t="s">
        <v>633</v>
      </c>
      <c r="G45" s="128"/>
      <c r="H45" s="128"/>
      <c r="J45" s="1"/>
      <c r="K45" s="1"/>
      <c r="L45" s="1"/>
      <c r="P45" s="1"/>
    </row>
    <row r="46" spans="1:16" x14ac:dyDescent="0.3">
      <c r="A46" s="178" t="s">
        <v>642</v>
      </c>
      <c r="B46" s="134">
        <f>SUM(B38:B44)</f>
        <v>123.76800230312</v>
      </c>
      <c r="C46" s="1"/>
      <c r="D46" s="157">
        <v>3300000</v>
      </c>
      <c r="E46" s="157">
        <v>33500000</v>
      </c>
      <c r="F46" s="157">
        <v>335000000</v>
      </c>
      <c r="G46" s="1" t="s">
        <v>705</v>
      </c>
      <c r="H46" s="1"/>
      <c r="J46" s="1"/>
      <c r="K46" s="1"/>
      <c r="L46" s="1"/>
      <c r="P46" s="1"/>
    </row>
    <row r="47" spans="1:16" x14ac:dyDescent="0.3">
      <c r="B47" s="101">
        <f>B46*1000000</f>
        <v>123768002.30312</v>
      </c>
    </row>
    <row r="48" spans="1:16" x14ac:dyDescent="0.3">
      <c r="C48" s="178" t="s">
        <v>644</v>
      </c>
    </row>
    <row r="49" spans="2:7" x14ac:dyDescent="0.3">
      <c r="C49" s="178" t="s">
        <v>707</v>
      </c>
    </row>
    <row r="50" spans="2:7" x14ac:dyDescent="0.3">
      <c r="B50" s="162" t="s">
        <v>718</v>
      </c>
      <c r="C50" s="5" t="s">
        <v>715</v>
      </c>
      <c r="D50" s="5"/>
      <c r="E50" s="5"/>
      <c r="F50" s="5"/>
    </row>
    <row r="51" spans="2:7" x14ac:dyDescent="0.3">
      <c r="C51" s="163" t="s">
        <v>717</v>
      </c>
      <c r="D51" s="187" t="s">
        <v>43</v>
      </c>
      <c r="E51" s="187" t="s">
        <v>719</v>
      </c>
      <c r="F51" s="187" t="s">
        <v>716</v>
      </c>
    </row>
    <row r="52" spans="2:7" x14ac:dyDescent="0.3">
      <c r="C52" s="164">
        <f t="shared" ref="C52:E52" si="6">$B$35*$B$36*B21*$F$21+$B$35*$B$36*B22*$F$22+$B$35*$B$36*B23*$F$23+$B$35*$B$36*B24*$F$24+$B$35*$B$36*B25*$F$25+$B$35*$B$36*B26*$F$26*$B$35*$B$36*B27*$F$27</f>
        <v>61.264994336922427</v>
      </c>
      <c r="D52" s="164">
        <f t="shared" si="6"/>
        <v>143.68754672267295</v>
      </c>
      <c r="E52" s="164">
        <f t="shared" si="6"/>
        <v>29390.092579415083</v>
      </c>
      <c r="F52" s="164">
        <f>$B$35*$B$36*E21*$F$21+$B$35*$B$36*E22*$F$22+$B$35*$B$36*E23*$F$23+$B$35*$B$36*E24*$F$24+$B$35*$B$36*E25*$F$25+$B$35*$B$36*E26*$F$26*$B$35*$B$36*E27*$F$27</f>
        <v>116993.94131866036</v>
      </c>
      <c r="G52" s="178" t="s">
        <v>722</v>
      </c>
    </row>
    <row r="53" spans="2:7" x14ac:dyDescent="0.3">
      <c r="C53" s="109" t="s">
        <v>680</v>
      </c>
      <c r="D53" s="109" t="s">
        <v>720</v>
      </c>
      <c r="E53" s="109" t="s">
        <v>721</v>
      </c>
      <c r="F53" s="109" t="s">
        <v>681</v>
      </c>
      <c r="G53" s="103" t="s">
        <v>723</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AA279"/>
  <sheetViews>
    <sheetView topLeftCell="R79" workbookViewId="0">
      <selection activeCell="Z99" sqref="Z99"/>
    </sheetView>
  </sheetViews>
  <sheetFormatPr defaultRowHeight="14.4" x14ac:dyDescent="0.3"/>
  <cols>
    <col min="1" max="1" width="20" customWidth="1"/>
    <col min="2" max="2" width="17.109375" customWidth="1"/>
    <col min="3" max="3" width="15.88671875" customWidth="1"/>
    <col min="4" max="5" width="18.88671875" customWidth="1"/>
    <col min="6" max="6" width="14.109375" customWidth="1"/>
    <col min="7" max="7" width="12.44140625" customWidth="1"/>
    <col min="8" max="8" width="14.6640625" customWidth="1"/>
    <col min="9" max="10" width="18.6640625" customWidth="1"/>
    <col min="11" max="11" width="14.6640625" customWidth="1"/>
    <col min="12" max="12" width="14.44140625" customWidth="1"/>
    <col min="13" max="13" width="15" customWidth="1"/>
    <col min="14" max="14" width="13.88671875" customWidth="1"/>
    <col min="15" max="15" width="13.44140625" customWidth="1"/>
    <col min="16" max="16" width="13.33203125" customWidth="1"/>
    <col min="17" max="17" width="15.6640625" customWidth="1"/>
    <col min="18" max="18" width="18.109375" customWidth="1"/>
    <col min="20" max="20" width="14.6640625" customWidth="1"/>
    <col min="21" max="22" width="18.6640625" customWidth="1"/>
    <col min="23" max="27" width="25.6640625" customWidth="1"/>
  </cols>
  <sheetData>
    <row r="2" spans="1:26" ht="15" thickBot="1" x14ac:dyDescent="0.35">
      <c r="A2" t="s">
        <v>724</v>
      </c>
    </row>
    <row r="3" spans="1:26" ht="28.2" thickBot="1" x14ac:dyDescent="0.35">
      <c r="W3" s="12" t="s">
        <v>138</v>
      </c>
      <c r="X3" s="13" t="s">
        <v>139</v>
      </c>
      <c r="Y3" s="13" t="s">
        <v>140</v>
      </c>
      <c r="Z3" s="13" t="s">
        <v>141</v>
      </c>
    </row>
    <row r="4" spans="1:26" ht="180" customHeight="1" x14ac:dyDescent="0.3">
      <c r="A4" t="s">
        <v>545</v>
      </c>
      <c r="W4" s="334" t="s">
        <v>142</v>
      </c>
      <c r="X4" s="334" t="s">
        <v>143</v>
      </c>
      <c r="Y4" s="14" t="s">
        <v>144</v>
      </c>
      <c r="Z4" s="334" t="s">
        <v>146</v>
      </c>
    </row>
    <row r="5" spans="1:26" ht="22.5" customHeight="1" thickBot="1" x14ac:dyDescent="0.35">
      <c r="A5" t="s">
        <v>542</v>
      </c>
      <c r="W5" s="335"/>
      <c r="X5" s="336"/>
      <c r="Y5" s="15" t="s">
        <v>145</v>
      </c>
      <c r="Z5" s="336"/>
    </row>
    <row r="6" spans="1:26" ht="30.6" x14ac:dyDescent="0.3">
      <c r="A6" t="s">
        <v>728</v>
      </c>
      <c r="E6" t="s">
        <v>729</v>
      </c>
      <c r="W6" s="335"/>
      <c r="X6" s="334" t="s">
        <v>147</v>
      </c>
      <c r="Y6" s="14" t="s">
        <v>148</v>
      </c>
      <c r="Z6" s="14" t="s">
        <v>150</v>
      </c>
    </row>
    <row r="7" spans="1:26" x14ac:dyDescent="0.3">
      <c r="A7" t="s">
        <v>58</v>
      </c>
      <c r="E7" t="s">
        <v>122</v>
      </c>
      <c r="W7" s="335"/>
      <c r="X7" s="335"/>
      <c r="Y7" s="14" t="s">
        <v>149</v>
      </c>
      <c r="Z7" s="14" t="s">
        <v>151</v>
      </c>
    </row>
    <row r="8" spans="1:26" ht="31.2" thickBot="1" x14ac:dyDescent="0.35">
      <c r="A8" t="s">
        <v>59</v>
      </c>
      <c r="E8" t="s">
        <v>123</v>
      </c>
      <c r="W8" s="335"/>
      <c r="X8" s="336"/>
      <c r="Y8" s="16"/>
      <c r="Z8" s="15" t="s">
        <v>152</v>
      </c>
    </row>
    <row r="9" spans="1:26" ht="51" x14ac:dyDescent="0.3">
      <c r="A9" t="s">
        <v>60</v>
      </c>
      <c r="E9" t="s">
        <v>124</v>
      </c>
      <c r="W9" s="335"/>
      <c r="X9" s="334" t="s">
        <v>153</v>
      </c>
      <c r="Y9" s="14" t="s">
        <v>154</v>
      </c>
      <c r="Z9" s="14" t="s">
        <v>160</v>
      </c>
    </row>
    <row r="10" spans="1:26" ht="30.6" x14ac:dyDescent="0.3">
      <c r="A10" t="s">
        <v>61</v>
      </c>
      <c r="E10" t="s">
        <v>125</v>
      </c>
      <c r="W10" s="335"/>
      <c r="X10" s="335"/>
      <c r="Y10" s="14" t="s">
        <v>155</v>
      </c>
      <c r="Z10" s="14" t="s">
        <v>161</v>
      </c>
    </row>
    <row r="11" spans="1:26" ht="30.6" x14ac:dyDescent="0.3">
      <c r="A11" t="s">
        <v>62</v>
      </c>
      <c r="E11" t="s">
        <v>126</v>
      </c>
      <c r="W11" s="335"/>
      <c r="X11" s="335"/>
      <c r="Y11" s="14" t="s">
        <v>156</v>
      </c>
      <c r="Z11" s="14" t="s">
        <v>162</v>
      </c>
    </row>
    <row r="12" spans="1:26" ht="30.6" x14ac:dyDescent="0.3">
      <c r="A12" t="s">
        <v>63</v>
      </c>
      <c r="E12" t="s">
        <v>127</v>
      </c>
      <c r="W12" s="335"/>
      <c r="X12" s="335"/>
      <c r="Y12" s="14" t="s">
        <v>157</v>
      </c>
      <c r="Z12" s="14" t="s">
        <v>163</v>
      </c>
    </row>
    <row r="13" spans="1:26" ht="30.6" x14ac:dyDescent="0.3">
      <c r="A13" t="s">
        <v>64</v>
      </c>
      <c r="E13" t="s">
        <v>128</v>
      </c>
      <c r="W13" s="335"/>
      <c r="X13" s="335"/>
      <c r="Y13" s="14" t="s">
        <v>158</v>
      </c>
      <c r="Z13" s="14" t="s">
        <v>164</v>
      </c>
    </row>
    <row r="14" spans="1:26" ht="21" thickBot="1" x14ac:dyDescent="0.35">
      <c r="A14" t="s">
        <v>65</v>
      </c>
      <c r="B14" s="1"/>
      <c r="W14" s="335"/>
      <c r="X14" s="336"/>
      <c r="Y14" s="15" t="s">
        <v>159</v>
      </c>
      <c r="Z14" s="16"/>
    </row>
    <row r="15" spans="1:26" ht="30.6" x14ac:dyDescent="0.3">
      <c r="A15" t="s">
        <v>66</v>
      </c>
      <c r="B15" s="1"/>
      <c r="F15" t="s">
        <v>129</v>
      </c>
      <c r="W15" s="335"/>
      <c r="X15" s="334" t="s">
        <v>165</v>
      </c>
      <c r="Y15" s="14" t="s">
        <v>166</v>
      </c>
      <c r="Z15" s="14" t="s">
        <v>168</v>
      </c>
    </row>
    <row r="16" spans="1:26" ht="41.4" thickBot="1" x14ac:dyDescent="0.35">
      <c r="A16" t="s">
        <v>60</v>
      </c>
      <c r="B16" s="1"/>
      <c r="E16" t="s">
        <v>130</v>
      </c>
      <c r="W16" s="336"/>
      <c r="X16" s="336"/>
      <c r="Y16" s="15" t="s">
        <v>167</v>
      </c>
      <c r="Z16" s="15" t="s">
        <v>169</v>
      </c>
    </row>
    <row r="17" spans="1:26" ht="20.399999999999999" x14ac:dyDescent="0.3">
      <c r="A17" t="s">
        <v>63</v>
      </c>
      <c r="B17" s="1"/>
      <c r="E17" t="s">
        <v>131</v>
      </c>
      <c r="W17" s="337" t="s">
        <v>123</v>
      </c>
      <c r="X17" s="337" t="s">
        <v>170</v>
      </c>
      <c r="Y17" s="17" t="s">
        <v>171</v>
      </c>
      <c r="Z17" s="17" t="s">
        <v>174</v>
      </c>
    </row>
    <row r="18" spans="1:26" ht="45" customHeight="1" x14ac:dyDescent="0.3">
      <c r="A18" t="s">
        <v>67</v>
      </c>
      <c r="B18" s="1"/>
      <c r="E18" t="s">
        <v>132</v>
      </c>
      <c r="W18" s="338"/>
      <c r="X18" s="338"/>
      <c r="Y18" s="17" t="s">
        <v>172</v>
      </c>
      <c r="Z18" s="17" t="s">
        <v>175</v>
      </c>
    </row>
    <row r="19" spans="1:26" ht="21" thickBot="1" x14ac:dyDescent="0.35">
      <c r="B19" s="1"/>
      <c r="C19" s="1"/>
      <c r="D19" s="1"/>
      <c r="E19" s="1" t="s">
        <v>133</v>
      </c>
      <c r="F19" s="1"/>
      <c r="G19" s="1"/>
      <c r="H19" s="1"/>
      <c r="I19" s="1"/>
      <c r="W19" s="338"/>
      <c r="X19" s="339"/>
      <c r="Y19" s="18" t="s">
        <v>173</v>
      </c>
      <c r="Z19" s="18" t="s">
        <v>176</v>
      </c>
    </row>
    <row r="20" spans="1:26" ht="15" customHeight="1" x14ac:dyDescent="0.3">
      <c r="F20" t="s">
        <v>134</v>
      </c>
      <c r="W20" s="338"/>
      <c r="X20" s="337" t="s">
        <v>177</v>
      </c>
      <c r="Y20" s="17" t="s">
        <v>178</v>
      </c>
      <c r="Z20" s="17" t="s">
        <v>180</v>
      </c>
    </row>
    <row r="21" spans="1:26" ht="33.75" customHeight="1" thickBot="1" x14ac:dyDescent="0.35">
      <c r="F21" t="s">
        <v>135</v>
      </c>
      <c r="W21" s="339"/>
      <c r="X21" s="339"/>
      <c r="Y21" s="18" t="s">
        <v>179</v>
      </c>
      <c r="Z21" s="18" t="s">
        <v>181</v>
      </c>
    </row>
    <row r="22" spans="1:26" ht="40.799999999999997" x14ac:dyDescent="0.3">
      <c r="F22" t="s">
        <v>136</v>
      </c>
      <c r="W22" s="334" t="s">
        <v>182</v>
      </c>
      <c r="X22" s="334" t="s">
        <v>183</v>
      </c>
      <c r="Y22" s="14" t="s">
        <v>184</v>
      </c>
      <c r="Z22" s="14" t="s">
        <v>186</v>
      </c>
    </row>
    <row r="23" spans="1:26" ht="20.399999999999999" x14ac:dyDescent="0.3">
      <c r="F23" t="s">
        <v>137</v>
      </c>
      <c r="W23" s="335"/>
      <c r="X23" s="335"/>
      <c r="Y23" s="14" t="s">
        <v>185</v>
      </c>
      <c r="Z23" s="14" t="s">
        <v>151</v>
      </c>
    </row>
    <row r="24" spans="1:26" ht="21" thickBot="1" x14ac:dyDescent="0.35">
      <c r="W24" s="335"/>
      <c r="X24" s="336"/>
      <c r="Y24" s="16"/>
      <c r="Z24" s="15" t="s">
        <v>187</v>
      </c>
    </row>
    <row r="25" spans="1:26" ht="30.6" x14ac:dyDescent="0.3">
      <c r="W25" s="335"/>
      <c r="X25" s="334" t="s">
        <v>188</v>
      </c>
      <c r="Y25" s="14" t="s">
        <v>189</v>
      </c>
      <c r="Z25" s="14" t="s">
        <v>193</v>
      </c>
    </row>
    <row r="26" spans="1:26" ht="20.399999999999999" x14ac:dyDescent="0.3">
      <c r="W26" s="335"/>
      <c r="X26" s="335"/>
      <c r="Y26" s="14" t="s">
        <v>190</v>
      </c>
      <c r="Z26" s="14" t="s">
        <v>194</v>
      </c>
    </row>
    <row r="27" spans="1:26" ht="20.399999999999999" x14ac:dyDescent="0.3">
      <c r="K27" s="2"/>
      <c r="L27" s="2"/>
      <c r="W27" s="335"/>
      <c r="X27" s="335"/>
      <c r="Y27" s="14" t="s">
        <v>191</v>
      </c>
      <c r="Z27" s="14" t="s">
        <v>195</v>
      </c>
    </row>
    <row r="28" spans="1:26" ht="20.399999999999999" x14ac:dyDescent="0.3">
      <c r="W28" s="335"/>
      <c r="X28" s="335"/>
      <c r="Y28" s="14" t="s">
        <v>192</v>
      </c>
      <c r="Z28" s="14" t="s">
        <v>196</v>
      </c>
    </row>
    <row r="29" spans="1:26" ht="31.2" thickBot="1" x14ac:dyDescent="0.35">
      <c r="W29" s="335"/>
      <c r="X29" s="336"/>
      <c r="Y29" s="16"/>
      <c r="Z29" s="15" t="s">
        <v>162</v>
      </c>
    </row>
    <row r="30" spans="1:26" ht="15" customHeight="1" x14ac:dyDescent="0.3">
      <c r="W30" s="335"/>
      <c r="X30" s="14" t="s">
        <v>197</v>
      </c>
      <c r="Y30" s="14" t="s">
        <v>199</v>
      </c>
      <c r="Z30" s="334" t="s">
        <v>202</v>
      </c>
    </row>
    <row r="31" spans="1:26" ht="33.75" customHeight="1" x14ac:dyDescent="0.3">
      <c r="W31" s="335"/>
      <c r="X31" s="14" t="s">
        <v>198</v>
      </c>
      <c r="Y31" s="14" t="s">
        <v>200</v>
      </c>
      <c r="Z31" s="335"/>
    </row>
    <row r="32" spans="1:26" ht="15" thickBot="1" x14ac:dyDescent="0.35">
      <c r="W32" s="336"/>
      <c r="X32" s="16"/>
      <c r="Y32" s="15" t="s">
        <v>201</v>
      </c>
      <c r="Z32" s="336"/>
    </row>
    <row r="33" spans="1:26" ht="51" x14ac:dyDescent="0.3">
      <c r="W33" s="337" t="s">
        <v>127</v>
      </c>
      <c r="X33" s="337" t="s">
        <v>203</v>
      </c>
      <c r="Y33" s="17" t="s">
        <v>204</v>
      </c>
      <c r="Z33" s="17" t="s">
        <v>206</v>
      </c>
    </row>
    <row r="34" spans="1:26" ht="15" thickBot="1" x14ac:dyDescent="0.35">
      <c r="A34" t="s">
        <v>21</v>
      </c>
      <c r="B34" t="s">
        <v>117</v>
      </c>
      <c r="W34" s="338"/>
      <c r="X34" s="339"/>
      <c r="Y34" s="18" t="s">
        <v>205</v>
      </c>
      <c r="Z34" s="17" t="s">
        <v>207</v>
      </c>
    </row>
    <row r="35" spans="1:26" ht="21" thickBot="1" x14ac:dyDescent="0.35">
      <c r="W35" s="339"/>
      <c r="X35" s="18" t="s">
        <v>208</v>
      </c>
      <c r="Y35" s="18" t="s">
        <v>209</v>
      </c>
      <c r="Z35" s="19"/>
    </row>
    <row r="36" spans="1:26" ht="20.399999999999999" x14ac:dyDescent="0.3">
      <c r="A36" s="87" t="s">
        <v>725</v>
      </c>
      <c r="B36" s="8"/>
      <c r="C36" s="8"/>
      <c r="D36" s="8"/>
      <c r="H36" s="87" t="s">
        <v>726</v>
      </c>
      <c r="I36" s="8"/>
      <c r="J36" s="8"/>
      <c r="K36" s="8"/>
      <c r="L36" s="8"/>
      <c r="W36" s="334" t="s">
        <v>128</v>
      </c>
      <c r="X36" s="334" t="s">
        <v>210</v>
      </c>
      <c r="Y36" s="14" t="s">
        <v>211</v>
      </c>
      <c r="Z36" s="14" t="s">
        <v>214</v>
      </c>
    </row>
    <row r="37" spans="1:26" ht="20.399999999999999" x14ac:dyDescent="0.3">
      <c r="A37" s="10" t="s">
        <v>118</v>
      </c>
      <c r="B37" s="10" t="s">
        <v>119</v>
      </c>
      <c r="C37" s="10" t="s">
        <v>120</v>
      </c>
      <c r="D37" s="10" t="s">
        <v>121</v>
      </c>
      <c r="F37" t="s">
        <v>494</v>
      </c>
      <c r="H37" s="88" t="s">
        <v>500</v>
      </c>
      <c r="I37" s="8"/>
      <c r="J37" s="8"/>
      <c r="K37" s="8"/>
      <c r="L37" s="8"/>
      <c r="W37" s="335"/>
      <c r="X37" s="335"/>
      <c r="Y37" s="14" t="s">
        <v>212</v>
      </c>
      <c r="Z37" s="14" t="s">
        <v>215</v>
      </c>
    </row>
    <row r="38" spans="1:26" s="80" customFormat="1" ht="29.4" thickBot="1" x14ac:dyDescent="0.35">
      <c r="A38" s="79" t="s">
        <v>466</v>
      </c>
      <c r="B38" s="80" t="s">
        <v>466</v>
      </c>
      <c r="C38" s="80" t="s">
        <v>457</v>
      </c>
      <c r="D38" s="80" t="s">
        <v>466</v>
      </c>
      <c r="E38" s="80" t="s">
        <v>459</v>
      </c>
      <c r="F38" s="85" t="s">
        <v>493</v>
      </c>
      <c r="H38" s="80" t="s">
        <v>143</v>
      </c>
      <c r="I38" s="80" t="s">
        <v>502</v>
      </c>
      <c r="J38" s="80" t="s">
        <v>501</v>
      </c>
      <c r="K38" s="80" t="s">
        <v>503</v>
      </c>
      <c r="W38" s="336"/>
      <c r="X38" s="336"/>
      <c r="Y38" s="15" t="s">
        <v>213</v>
      </c>
      <c r="Z38" s="16"/>
    </row>
    <row r="39" spans="1:26" s="80" customFormat="1" ht="29.4" thickBot="1" x14ac:dyDescent="0.35">
      <c r="A39" s="79" t="s">
        <v>465</v>
      </c>
      <c r="B39" s="80" t="s">
        <v>458</v>
      </c>
      <c r="C39" s="80" t="s">
        <v>457</v>
      </c>
      <c r="D39" s="80" t="s">
        <v>456</v>
      </c>
      <c r="E39" s="80" t="s">
        <v>460</v>
      </c>
      <c r="F39" s="85" t="s">
        <v>492</v>
      </c>
      <c r="H39" s="80" t="s">
        <v>311</v>
      </c>
      <c r="I39" t="s">
        <v>236</v>
      </c>
      <c r="J39"/>
      <c r="K39"/>
      <c r="L39"/>
      <c r="M39"/>
      <c r="N39"/>
    </row>
    <row r="40" spans="1:26" s="80" customFormat="1" ht="43.8" thickBot="1" x14ac:dyDescent="0.35">
      <c r="A40" s="80" t="s">
        <v>462</v>
      </c>
      <c r="B40" s="80" t="s">
        <v>464</v>
      </c>
      <c r="C40" s="80" t="s">
        <v>463</v>
      </c>
      <c r="D40" s="80" t="s">
        <v>467</v>
      </c>
      <c r="E40" s="80" t="s">
        <v>461</v>
      </c>
      <c r="F40" s="84" t="s">
        <v>491</v>
      </c>
      <c r="H40" s="80" t="s">
        <v>497</v>
      </c>
      <c r="I40" s="245" t="s">
        <v>514</v>
      </c>
      <c r="J40" s="28" t="s">
        <v>238</v>
      </c>
      <c r="K40" s="98"/>
      <c r="L40" s="93"/>
      <c r="M40" s="31"/>
      <c r="N40" s="31"/>
      <c r="O40" s="31"/>
      <c r="P40" s="31"/>
      <c r="Q40" s="31"/>
      <c r="R40" s="99" t="s">
        <v>487</v>
      </c>
      <c r="S40" s="82" t="s">
        <v>216</v>
      </c>
    </row>
    <row r="41" spans="1:26" s="80" customFormat="1" ht="43.8" thickBot="1" x14ac:dyDescent="0.35">
      <c r="A41" s="80" t="s">
        <v>468</v>
      </c>
      <c r="B41" s="80" t="s">
        <v>469</v>
      </c>
      <c r="C41" s="80" t="s">
        <v>463</v>
      </c>
      <c r="D41" s="80" t="s">
        <v>476</v>
      </c>
      <c r="E41" s="80" t="s">
        <v>470</v>
      </c>
      <c r="F41" s="83" t="s">
        <v>490</v>
      </c>
      <c r="H41" s="80" t="s">
        <v>498</v>
      </c>
      <c r="I41" s="245"/>
      <c r="J41" s="28" t="s">
        <v>239</v>
      </c>
      <c r="K41" s="35"/>
      <c r="L41" s="36"/>
      <c r="M41" s="34"/>
      <c r="N41" s="34"/>
      <c r="O41" s="34"/>
      <c r="P41" s="34"/>
      <c r="Q41" s="34"/>
      <c r="R41" s="100" t="s">
        <v>488</v>
      </c>
      <c r="W41" s="20" t="s">
        <v>217</v>
      </c>
      <c r="X41" s="21" t="s">
        <v>218</v>
      </c>
      <c r="Y41" s="21" t="s">
        <v>219</v>
      </c>
    </row>
    <row r="42" spans="1:26" s="80" customFormat="1" ht="72.599999999999994" thickBot="1" x14ac:dyDescent="0.35">
      <c r="A42" s="80" t="s">
        <v>472</v>
      </c>
      <c r="B42" s="80" t="s">
        <v>474</v>
      </c>
      <c r="C42" s="80" t="s">
        <v>473</v>
      </c>
      <c r="D42" s="80" t="s">
        <v>477</v>
      </c>
      <c r="E42" s="80" t="s">
        <v>471</v>
      </c>
      <c r="F42" s="83" t="s">
        <v>489</v>
      </c>
      <c r="H42" s="80" t="s">
        <v>499</v>
      </c>
      <c r="I42" s="245"/>
      <c r="J42" s="28" t="s">
        <v>240</v>
      </c>
      <c r="K42" s="35"/>
      <c r="L42" s="36"/>
      <c r="M42" s="36"/>
      <c r="N42" s="34"/>
      <c r="O42" s="34"/>
      <c r="P42" s="34"/>
      <c r="Q42" s="34"/>
      <c r="R42" s="100" t="s">
        <v>489</v>
      </c>
      <c r="W42" s="328" t="s">
        <v>220</v>
      </c>
      <c r="X42" s="328" t="s">
        <v>221</v>
      </c>
      <c r="Y42" s="81" t="s">
        <v>222</v>
      </c>
    </row>
    <row r="43" spans="1:26" ht="60.6" thickBot="1" x14ac:dyDescent="0.35">
      <c r="A43" s="80" t="s">
        <v>478</v>
      </c>
      <c r="B43" s="80" t="s">
        <v>480</v>
      </c>
      <c r="C43" s="80" t="s">
        <v>483</v>
      </c>
      <c r="D43" s="80" t="s">
        <v>479</v>
      </c>
      <c r="E43" s="80" t="s">
        <v>475</v>
      </c>
      <c r="F43" s="83" t="s">
        <v>488</v>
      </c>
      <c r="H43" s="80" t="s">
        <v>127</v>
      </c>
      <c r="I43" s="245"/>
      <c r="J43" s="28" t="s">
        <v>241</v>
      </c>
      <c r="K43" s="35"/>
      <c r="L43" s="37"/>
      <c r="M43" s="36"/>
      <c r="N43" s="36"/>
      <c r="O43" s="34"/>
      <c r="P43" s="34"/>
      <c r="Q43" s="34"/>
      <c r="R43" s="86" t="s">
        <v>490</v>
      </c>
      <c r="W43" s="329"/>
      <c r="X43" s="329"/>
      <c r="Y43" s="22" t="s">
        <v>223</v>
      </c>
    </row>
    <row r="44" spans="1:26" ht="60.6" thickBot="1" x14ac:dyDescent="0.35">
      <c r="A44" s="80" t="s">
        <v>482</v>
      </c>
      <c r="B44" s="80" t="s">
        <v>481</v>
      </c>
      <c r="C44" s="80" t="s">
        <v>484</v>
      </c>
      <c r="D44" s="80" t="s">
        <v>485</v>
      </c>
      <c r="E44" s="80" t="s">
        <v>486</v>
      </c>
      <c r="F44" s="83" t="s">
        <v>487</v>
      </c>
      <c r="H44" s="80" t="s">
        <v>128</v>
      </c>
      <c r="I44" s="245"/>
      <c r="J44" s="92" t="s">
        <v>513</v>
      </c>
      <c r="K44" s="35"/>
      <c r="L44" s="37"/>
      <c r="M44" s="37"/>
      <c r="N44" s="36"/>
      <c r="O44" s="36"/>
      <c r="P44" s="34"/>
      <c r="Q44" s="34"/>
      <c r="R44" s="86" t="s">
        <v>491</v>
      </c>
      <c r="W44" s="330"/>
      <c r="X44" s="330"/>
      <c r="Y44" s="23" t="s">
        <v>224</v>
      </c>
    </row>
    <row r="45" spans="1:26" ht="36" x14ac:dyDescent="0.3">
      <c r="I45" s="245"/>
      <c r="J45" s="28" t="s">
        <v>512</v>
      </c>
      <c r="K45" s="94"/>
      <c r="L45" s="95"/>
      <c r="M45" s="95"/>
      <c r="N45" s="95"/>
      <c r="O45" s="96"/>
      <c r="P45" s="96"/>
      <c r="Q45" s="96"/>
      <c r="R45" s="86" t="s">
        <v>492</v>
      </c>
      <c r="W45" s="331" t="s">
        <v>225</v>
      </c>
      <c r="X45" s="331" t="s">
        <v>226</v>
      </c>
      <c r="Y45" s="24" t="s">
        <v>227</v>
      </c>
    </row>
    <row r="46" spans="1:26" ht="48.75" customHeight="1" x14ac:dyDescent="0.3">
      <c r="I46" s="27"/>
      <c r="J46" s="28" t="s">
        <v>511</v>
      </c>
      <c r="K46" s="97"/>
      <c r="L46" s="97"/>
      <c r="M46" s="97"/>
      <c r="N46" s="97"/>
      <c r="O46" s="97"/>
      <c r="P46" s="97"/>
      <c r="Q46" s="97"/>
      <c r="R46" s="86" t="s">
        <v>493</v>
      </c>
      <c r="W46" s="332"/>
      <c r="X46" s="332"/>
      <c r="Y46" s="24"/>
    </row>
    <row r="47" spans="1:26" ht="48.6" thickBot="1" x14ac:dyDescent="0.35">
      <c r="K47" s="38" t="s">
        <v>504</v>
      </c>
      <c r="L47" s="89" t="s">
        <v>505</v>
      </c>
      <c r="M47" s="38" t="s">
        <v>506</v>
      </c>
      <c r="N47" s="38" t="s">
        <v>507</v>
      </c>
      <c r="O47" s="38" t="s">
        <v>508</v>
      </c>
      <c r="P47" s="89" t="s">
        <v>509</v>
      </c>
      <c r="Q47" s="89" t="s">
        <v>510</v>
      </c>
      <c r="W47" s="333"/>
      <c r="X47" s="333"/>
      <c r="Y47" s="25" t="s">
        <v>228</v>
      </c>
    </row>
    <row r="48" spans="1:26" ht="72" x14ac:dyDescent="0.3">
      <c r="K48" s="246" t="s">
        <v>248</v>
      </c>
      <c r="L48" s="246"/>
      <c r="M48" s="246"/>
      <c r="N48" s="246"/>
      <c r="W48" s="328" t="s">
        <v>229</v>
      </c>
      <c r="X48" s="22" t="s">
        <v>230</v>
      </c>
      <c r="Y48" s="22" t="s">
        <v>232</v>
      </c>
    </row>
    <row r="49" spans="1:25" ht="180.6" thickBot="1" x14ac:dyDescent="0.35">
      <c r="W49" s="329"/>
      <c r="X49" s="22" t="s">
        <v>231</v>
      </c>
      <c r="Y49" s="22" t="s">
        <v>233</v>
      </c>
    </row>
    <row r="50" spans="1:25" ht="48" x14ac:dyDescent="0.3">
      <c r="I50" s="247"/>
      <c r="J50" s="248"/>
      <c r="K50" s="39" t="s">
        <v>9</v>
      </c>
      <c r="L50" s="41" t="s">
        <v>7</v>
      </c>
      <c r="M50" s="43" t="s">
        <v>251</v>
      </c>
      <c r="N50" s="45" t="s">
        <v>5</v>
      </c>
      <c r="W50" s="329"/>
      <c r="X50" s="26"/>
      <c r="Y50" s="22" t="s">
        <v>234</v>
      </c>
    </row>
    <row r="51" spans="1:25" ht="48.6" thickBot="1" x14ac:dyDescent="0.35">
      <c r="I51" s="247"/>
      <c r="J51" s="248"/>
      <c r="K51" s="40" t="s">
        <v>249</v>
      </c>
      <c r="L51" s="42" t="s">
        <v>250</v>
      </c>
      <c r="M51" s="44" t="s">
        <v>252</v>
      </c>
      <c r="N51" s="46" t="s">
        <v>253</v>
      </c>
      <c r="W51" s="330"/>
      <c r="X51" s="16"/>
      <c r="Y51" s="23" t="s">
        <v>235</v>
      </c>
    </row>
    <row r="52" spans="1:25" ht="15" thickBot="1" x14ac:dyDescent="0.35">
      <c r="S52" t="s">
        <v>236</v>
      </c>
    </row>
    <row r="53" spans="1:25" ht="32.25" customHeight="1" thickBot="1" x14ac:dyDescent="0.35">
      <c r="A53" t="s">
        <v>515</v>
      </c>
      <c r="B53" t="s">
        <v>520</v>
      </c>
      <c r="C53" t="s">
        <v>526</v>
      </c>
      <c r="E53" s="80" t="s">
        <v>524</v>
      </c>
      <c r="F53" s="80" t="s">
        <v>525</v>
      </c>
      <c r="N53" t="s">
        <v>256</v>
      </c>
      <c r="O53" t="s">
        <v>255</v>
      </c>
      <c r="S53" s="245" t="s">
        <v>237</v>
      </c>
      <c r="T53" s="28" t="s">
        <v>238</v>
      </c>
      <c r="U53" s="29"/>
      <c r="V53" s="30"/>
      <c r="W53" s="31"/>
      <c r="X53" s="31"/>
    </row>
    <row r="54" spans="1:25" ht="24.9" customHeight="1" thickBot="1" x14ac:dyDescent="0.35">
      <c r="A54" t="s">
        <v>516</v>
      </c>
      <c r="B54" s="66">
        <v>12500</v>
      </c>
      <c r="C54">
        <v>2.5</v>
      </c>
      <c r="D54" t="s">
        <v>521</v>
      </c>
      <c r="F54">
        <v>500</v>
      </c>
      <c r="M54" t="s">
        <v>254</v>
      </c>
      <c r="N54">
        <v>174</v>
      </c>
      <c r="O54" t="s">
        <v>257</v>
      </c>
      <c r="S54" s="245"/>
      <c r="T54" s="28" t="s">
        <v>239</v>
      </c>
      <c r="U54" s="32"/>
      <c r="V54" s="33"/>
      <c r="W54" s="33"/>
      <c r="X54" s="34"/>
    </row>
    <row r="55" spans="1:25" ht="24.9" customHeight="1" thickBot="1" x14ac:dyDescent="0.35">
      <c r="A55" t="s">
        <v>518</v>
      </c>
      <c r="B55" s="66">
        <v>50000</v>
      </c>
      <c r="C55">
        <v>15</v>
      </c>
      <c r="D55" t="s">
        <v>522</v>
      </c>
      <c r="N55" t="s">
        <v>259</v>
      </c>
      <c r="O55" t="s">
        <v>260</v>
      </c>
      <c r="S55" s="245"/>
      <c r="T55" s="28" t="s">
        <v>240</v>
      </c>
      <c r="U55" s="32"/>
      <c r="V55" s="33"/>
      <c r="W55" s="33"/>
      <c r="X55" s="34"/>
    </row>
    <row r="56" spans="1:25" ht="24.9" customHeight="1" thickBot="1" x14ac:dyDescent="0.35">
      <c r="A56" t="s">
        <v>517</v>
      </c>
      <c r="B56" s="66">
        <v>200000</v>
      </c>
      <c r="C56">
        <v>30</v>
      </c>
      <c r="D56" t="s">
        <v>523</v>
      </c>
      <c r="M56" t="s">
        <v>43</v>
      </c>
      <c r="N56">
        <v>0.1</v>
      </c>
      <c r="O56">
        <v>500</v>
      </c>
      <c r="S56" s="245"/>
      <c r="T56" s="28" t="s">
        <v>241</v>
      </c>
      <c r="U56" s="35"/>
      <c r="V56" s="36"/>
      <c r="W56" s="33"/>
      <c r="X56" s="33"/>
    </row>
    <row r="57" spans="1:25" ht="24.9" customHeight="1" thickBot="1" x14ac:dyDescent="0.35">
      <c r="A57" t="s">
        <v>519</v>
      </c>
      <c r="B57" s="66">
        <v>600000</v>
      </c>
      <c r="M57" t="s">
        <v>258</v>
      </c>
      <c r="N57">
        <v>0.2</v>
      </c>
      <c r="S57" s="245"/>
      <c r="T57" s="28" t="s">
        <v>242</v>
      </c>
      <c r="U57" s="35"/>
      <c r="V57" s="36"/>
      <c r="W57" s="36"/>
      <c r="X57" s="33"/>
    </row>
    <row r="58" spans="1:25" ht="24.9" customHeight="1" thickBot="1" x14ac:dyDescent="0.35">
      <c r="A58" t="s">
        <v>544</v>
      </c>
      <c r="M58" t="s">
        <v>94</v>
      </c>
      <c r="N58">
        <v>1</v>
      </c>
      <c r="O58">
        <v>25000</v>
      </c>
      <c r="S58" s="245"/>
      <c r="T58" s="28" t="s">
        <v>243</v>
      </c>
      <c r="U58" s="35"/>
      <c r="V58" s="37"/>
      <c r="W58" s="36"/>
      <c r="X58" s="36"/>
    </row>
    <row r="59" spans="1:25" ht="24.9" customHeight="1" x14ac:dyDescent="0.3">
      <c r="B59" t="s">
        <v>543</v>
      </c>
      <c r="H59">
        <f>109000*1128</f>
        <v>122952000</v>
      </c>
      <c r="S59" s="27"/>
      <c r="T59" s="28"/>
      <c r="U59" s="90"/>
      <c r="V59" s="90"/>
      <c r="W59" s="91"/>
      <c r="X59" s="91"/>
    </row>
    <row r="60" spans="1:25" ht="24.9" customHeight="1" x14ac:dyDescent="0.3">
      <c r="S60" s="27"/>
      <c r="T60" s="28"/>
      <c r="U60" s="90"/>
      <c r="V60" s="90"/>
      <c r="W60" s="91"/>
      <c r="X60" s="91"/>
    </row>
    <row r="61" spans="1:25" x14ac:dyDescent="0.3">
      <c r="A61" t="s">
        <v>527</v>
      </c>
      <c r="U61" s="38" t="s">
        <v>244</v>
      </c>
      <c r="V61" s="38" t="s">
        <v>245</v>
      </c>
      <c r="W61" s="38" t="s">
        <v>246</v>
      </c>
      <c r="X61" s="38" t="s">
        <v>247</v>
      </c>
    </row>
    <row r="62" spans="1:25" x14ac:dyDescent="0.3">
      <c r="A62" t="s">
        <v>528</v>
      </c>
      <c r="B62" s="86" t="s">
        <v>529</v>
      </c>
      <c r="C62" s="86"/>
      <c r="D62" s="86"/>
      <c r="G62" t="s">
        <v>552</v>
      </c>
      <c r="I62" t="s">
        <v>554</v>
      </c>
      <c r="M62" t="s">
        <v>261</v>
      </c>
      <c r="U62" s="246" t="s">
        <v>248</v>
      </c>
      <c r="V62" s="246"/>
      <c r="W62" s="246"/>
      <c r="X62" s="246"/>
    </row>
    <row r="63" spans="1:25" ht="15" thickBot="1" x14ac:dyDescent="0.35">
      <c r="B63" t="s">
        <v>530</v>
      </c>
      <c r="C63" t="s">
        <v>531</v>
      </c>
      <c r="D63" t="s">
        <v>532</v>
      </c>
      <c r="E63" t="s">
        <v>533</v>
      </c>
      <c r="F63" t="s">
        <v>421</v>
      </c>
      <c r="H63" t="s">
        <v>553</v>
      </c>
    </row>
    <row r="64" spans="1:25" x14ac:dyDescent="0.3">
      <c r="A64" t="s">
        <v>534</v>
      </c>
      <c r="B64">
        <v>10</v>
      </c>
      <c r="C64" s="48">
        <v>29</v>
      </c>
      <c r="D64" s="48">
        <v>1863</v>
      </c>
      <c r="E64" s="48">
        <v>7389</v>
      </c>
      <c r="F64" s="48">
        <v>3094</v>
      </c>
      <c r="H64" s="102">
        <f>(E64/1.31)/2.471</f>
        <v>2282.6620863080434</v>
      </c>
      <c r="M64" t="s">
        <v>262</v>
      </c>
      <c r="S64" s="247"/>
      <c r="T64" s="248"/>
      <c r="U64" s="39" t="s">
        <v>9</v>
      </c>
      <c r="V64" s="41" t="s">
        <v>7</v>
      </c>
      <c r="W64" s="43" t="s">
        <v>251</v>
      </c>
      <c r="X64" s="45" t="s">
        <v>5</v>
      </c>
    </row>
    <row r="65" spans="1:25" ht="15" thickBot="1" x14ac:dyDescent="0.35">
      <c r="A65" t="s">
        <v>535</v>
      </c>
      <c r="B65">
        <v>12</v>
      </c>
      <c r="C65" s="48">
        <v>1797</v>
      </c>
      <c r="D65" s="48">
        <v>15820</v>
      </c>
      <c r="E65" s="48">
        <v>36420</v>
      </c>
      <c r="F65" s="48">
        <v>18014</v>
      </c>
      <c r="H65" s="102">
        <f t="shared" ref="H65:H67" si="0">(E65/1.31)/2.471</f>
        <v>11251.123722200426</v>
      </c>
      <c r="M65" t="s">
        <v>263</v>
      </c>
      <c r="N65" t="s">
        <v>264</v>
      </c>
      <c r="S65" s="247"/>
      <c r="T65" s="248"/>
      <c r="U65" s="40" t="s">
        <v>249</v>
      </c>
      <c r="V65" s="42" t="s">
        <v>250</v>
      </c>
      <c r="W65" s="44" t="s">
        <v>252</v>
      </c>
      <c r="X65" s="46" t="s">
        <v>253</v>
      </c>
    </row>
    <row r="66" spans="1:25" x14ac:dyDescent="0.3">
      <c r="A66" t="s">
        <v>536</v>
      </c>
      <c r="B66">
        <v>12</v>
      </c>
      <c r="C66" s="48">
        <v>835</v>
      </c>
      <c r="D66" s="48">
        <v>8445</v>
      </c>
      <c r="E66" s="48">
        <v>41108</v>
      </c>
      <c r="F66" s="48">
        <v>16796</v>
      </c>
      <c r="H66" s="102">
        <f t="shared" si="0"/>
        <v>12699.373804838415</v>
      </c>
      <c r="M66" t="s">
        <v>265</v>
      </c>
      <c r="N66" t="s">
        <v>266</v>
      </c>
    </row>
    <row r="67" spans="1:25" ht="15" thickBot="1" x14ac:dyDescent="0.35">
      <c r="A67" t="s">
        <v>537</v>
      </c>
      <c r="B67" s="7">
        <v>8</v>
      </c>
      <c r="C67" s="101">
        <v>353</v>
      </c>
      <c r="D67" s="101">
        <v>7723</v>
      </c>
      <c r="E67" s="101">
        <v>67229</v>
      </c>
      <c r="F67" s="48">
        <v>20102</v>
      </c>
      <c r="H67" s="102">
        <f t="shared" si="0"/>
        <v>20768.857680390236</v>
      </c>
      <c r="M67" t="s">
        <v>267</v>
      </c>
      <c r="N67" t="s">
        <v>268</v>
      </c>
    </row>
    <row r="68" spans="1:25" ht="24" customHeight="1" x14ac:dyDescent="0.3">
      <c r="B68" s="1"/>
      <c r="C68" s="1"/>
      <c r="D68" s="1"/>
      <c r="E68" s="1"/>
      <c r="M68" t="s">
        <v>269</v>
      </c>
      <c r="N68" t="s">
        <v>270</v>
      </c>
      <c r="T68" s="277" t="s">
        <v>1035</v>
      </c>
      <c r="U68" s="49" t="s">
        <v>271</v>
      </c>
      <c r="V68" s="277" t="s">
        <v>272</v>
      </c>
      <c r="W68" s="49" t="s">
        <v>225</v>
      </c>
      <c r="X68" s="49" t="s">
        <v>273</v>
      </c>
      <c r="Y68" s="49" t="s">
        <v>275</v>
      </c>
    </row>
    <row r="69" spans="1:25" ht="15" thickBot="1" x14ac:dyDescent="0.35">
      <c r="A69" t="s">
        <v>538</v>
      </c>
      <c r="B69" s="1"/>
      <c r="C69" s="1"/>
      <c r="D69" s="1"/>
      <c r="E69" s="1"/>
      <c r="T69" s="279"/>
      <c r="U69" s="50" t="s">
        <v>289</v>
      </c>
      <c r="V69" s="279"/>
      <c r="W69" s="50" t="s">
        <v>290</v>
      </c>
      <c r="X69" s="50" t="s">
        <v>274</v>
      </c>
      <c r="Y69" s="50" t="s">
        <v>274</v>
      </c>
    </row>
    <row r="70" spans="1:25" ht="15" thickBot="1" x14ac:dyDescent="0.35">
      <c r="A70" t="s">
        <v>539</v>
      </c>
      <c r="B70" s="1"/>
      <c r="C70" s="1"/>
      <c r="D70" s="1"/>
      <c r="E70" s="1"/>
      <c r="T70" s="316" t="s">
        <v>276</v>
      </c>
      <c r="U70" s="325">
        <v>174</v>
      </c>
      <c r="V70" s="319" t="s">
        <v>277</v>
      </c>
      <c r="W70" s="51" t="s">
        <v>278</v>
      </c>
      <c r="X70" s="52">
        <v>8700</v>
      </c>
      <c r="Y70" s="316" t="s">
        <v>279</v>
      </c>
    </row>
    <row r="71" spans="1:25" ht="15" thickBot="1" x14ac:dyDescent="0.35">
      <c r="A71" t="s">
        <v>540</v>
      </c>
      <c r="B71" s="1"/>
      <c r="C71" s="1"/>
      <c r="D71" s="1"/>
      <c r="E71" s="1"/>
      <c r="T71" s="317"/>
      <c r="U71" s="326"/>
      <c r="V71" s="320"/>
      <c r="W71" s="51" t="s">
        <v>280</v>
      </c>
      <c r="X71" s="52">
        <v>435000</v>
      </c>
      <c r="Y71" s="317"/>
    </row>
    <row r="72" spans="1:25" ht="15" thickBot="1" x14ac:dyDescent="0.35">
      <c r="A72" t="s">
        <v>541</v>
      </c>
      <c r="B72" s="1"/>
      <c r="C72" s="1"/>
      <c r="D72" s="1"/>
      <c r="E72" s="1"/>
      <c r="T72" s="317"/>
      <c r="U72" s="326"/>
      <c r="V72" s="321"/>
      <c r="W72" s="51" t="s">
        <v>278</v>
      </c>
      <c r="X72" s="52">
        <v>8700</v>
      </c>
      <c r="Y72" s="317"/>
    </row>
    <row r="73" spans="1:25" ht="15" thickBot="1" x14ac:dyDescent="0.35">
      <c r="B73" s="1"/>
      <c r="C73" s="1"/>
      <c r="D73" s="1"/>
      <c r="E73" s="1"/>
      <c r="T73" s="318"/>
      <c r="U73" s="327"/>
      <c r="V73" s="51" t="s">
        <v>281</v>
      </c>
      <c r="W73" s="51" t="s">
        <v>278</v>
      </c>
      <c r="X73" s="52">
        <v>17500</v>
      </c>
      <c r="Y73" s="318"/>
    </row>
    <row r="74" spans="1:25" ht="15" thickBot="1" x14ac:dyDescent="0.35">
      <c r="B74" s="1"/>
      <c r="C74" s="1"/>
      <c r="D74" s="1"/>
      <c r="E74" s="1"/>
      <c r="T74" s="286" t="s">
        <v>282</v>
      </c>
      <c r="U74" s="305">
        <v>174</v>
      </c>
      <c r="V74" s="300" t="s">
        <v>277</v>
      </c>
      <c r="W74" s="53" t="s">
        <v>278</v>
      </c>
      <c r="X74" s="54">
        <v>8700</v>
      </c>
      <c r="Y74" s="286" t="s">
        <v>283</v>
      </c>
    </row>
    <row r="75" spans="1:25" ht="15" thickBot="1" x14ac:dyDescent="0.35">
      <c r="B75" s="1"/>
      <c r="C75" s="1"/>
      <c r="D75" s="1"/>
      <c r="E75" s="1"/>
      <c r="T75" s="287"/>
      <c r="U75" s="306"/>
      <c r="V75" s="315"/>
      <c r="W75" s="53" t="s">
        <v>278</v>
      </c>
      <c r="X75" s="54">
        <v>8700</v>
      </c>
      <c r="Y75" s="287"/>
    </row>
    <row r="76" spans="1:25" ht="15" thickBot="1" x14ac:dyDescent="0.35">
      <c r="B76" s="1"/>
      <c r="C76" s="1"/>
      <c r="D76" s="1"/>
      <c r="E76" s="1"/>
      <c r="F76" s="1"/>
      <c r="G76" s="1"/>
      <c r="L76" s="1"/>
      <c r="T76" s="287"/>
      <c r="U76" s="306"/>
      <c r="V76" s="315"/>
      <c r="W76" s="53" t="s">
        <v>280</v>
      </c>
      <c r="X76" s="54">
        <v>435000</v>
      </c>
      <c r="Y76" s="287"/>
    </row>
    <row r="77" spans="1:25" ht="15" thickBot="1" x14ac:dyDescent="0.35">
      <c r="T77" s="287"/>
      <c r="U77" s="306"/>
      <c r="V77" s="301"/>
      <c r="W77" s="53" t="s">
        <v>280</v>
      </c>
      <c r="X77" s="54">
        <v>435000</v>
      </c>
      <c r="Y77" s="287"/>
    </row>
    <row r="78" spans="1:25" ht="15" thickBot="1" x14ac:dyDescent="0.35">
      <c r="T78" s="287"/>
      <c r="U78" s="306"/>
      <c r="V78" s="300" t="s">
        <v>281</v>
      </c>
      <c r="W78" s="53" t="s">
        <v>278</v>
      </c>
      <c r="X78" s="54">
        <v>17400</v>
      </c>
      <c r="Y78" s="287"/>
    </row>
    <row r="79" spans="1:25" ht="15" thickBot="1" x14ac:dyDescent="0.35">
      <c r="T79" s="287"/>
      <c r="U79" s="306"/>
      <c r="V79" s="301"/>
      <c r="W79" s="53" t="s">
        <v>280</v>
      </c>
      <c r="X79" s="54">
        <v>870000</v>
      </c>
      <c r="Y79" s="287"/>
    </row>
    <row r="80" spans="1:25" ht="15" thickBot="1" x14ac:dyDescent="0.35">
      <c r="T80" s="288"/>
      <c r="U80" s="307"/>
      <c r="V80" s="53" t="s">
        <v>284</v>
      </c>
      <c r="W80" s="53" t="s">
        <v>278</v>
      </c>
      <c r="X80" s="54">
        <v>87000</v>
      </c>
      <c r="Y80" s="288"/>
    </row>
    <row r="81" spans="12:25" ht="15" thickBot="1" x14ac:dyDescent="0.35">
      <c r="T81" s="289" t="s">
        <v>285</v>
      </c>
      <c r="U81" s="302">
        <v>174</v>
      </c>
      <c r="V81" s="55" t="s">
        <v>277</v>
      </c>
      <c r="W81" s="55" t="s">
        <v>280</v>
      </c>
      <c r="X81" s="56">
        <v>435000</v>
      </c>
      <c r="Y81" s="289" t="s">
        <v>286</v>
      </c>
    </row>
    <row r="82" spans="12:25" ht="15" thickBot="1" x14ac:dyDescent="0.35">
      <c r="T82" s="290"/>
      <c r="U82" s="303"/>
      <c r="V82" s="295" t="s">
        <v>281</v>
      </c>
      <c r="W82" s="55" t="s">
        <v>278</v>
      </c>
      <c r="X82" s="56">
        <v>17400</v>
      </c>
      <c r="Y82" s="290"/>
    </row>
    <row r="83" spans="12:25" ht="15" thickBot="1" x14ac:dyDescent="0.35">
      <c r="T83" s="290"/>
      <c r="U83" s="303"/>
      <c r="V83" s="314"/>
      <c r="W83" s="55" t="s">
        <v>278</v>
      </c>
      <c r="X83" s="56">
        <v>17400</v>
      </c>
      <c r="Y83" s="290"/>
    </row>
    <row r="84" spans="12:25" ht="15" thickBot="1" x14ac:dyDescent="0.35">
      <c r="T84" s="290"/>
      <c r="U84" s="303"/>
      <c r="V84" s="314"/>
      <c r="W84" s="55" t="s">
        <v>280</v>
      </c>
      <c r="X84" s="56">
        <v>870000</v>
      </c>
      <c r="Y84" s="290"/>
    </row>
    <row r="85" spans="12:25" ht="15" thickBot="1" x14ac:dyDescent="0.35">
      <c r="T85" s="290"/>
      <c r="U85" s="303"/>
      <c r="V85" s="296"/>
      <c r="W85" s="55" t="s">
        <v>280</v>
      </c>
      <c r="X85" s="56">
        <v>870000</v>
      </c>
      <c r="Y85" s="290"/>
    </row>
    <row r="86" spans="12:25" ht="15" thickBot="1" x14ac:dyDescent="0.35">
      <c r="T86" s="290"/>
      <c r="U86" s="303"/>
      <c r="V86" s="295" t="s">
        <v>284</v>
      </c>
      <c r="W86" s="55" t="s">
        <v>278</v>
      </c>
      <c r="X86" s="56">
        <v>87000</v>
      </c>
      <c r="Y86" s="290"/>
    </row>
    <row r="87" spans="12:25" ht="15" thickBot="1" x14ac:dyDescent="0.35">
      <c r="T87" s="290"/>
      <c r="U87" s="303"/>
      <c r="V87" s="314"/>
      <c r="W87" s="55" t="s">
        <v>278</v>
      </c>
      <c r="X87" s="56">
        <v>87000</v>
      </c>
      <c r="Y87" s="290"/>
    </row>
    <row r="88" spans="12:25" ht="15" thickBot="1" x14ac:dyDescent="0.35">
      <c r="T88" s="290"/>
      <c r="U88" s="303"/>
      <c r="V88" s="314"/>
      <c r="W88" s="55" t="s">
        <v>280</v>
      </c>
      <c r="X88" s="56">
        <v>4350000</v>
      </c>
      <c r="Y88" s="290"/>
    </row>
    <row r="89" spans="12:25" ht="15" thickBot="1" x14ac:dyDescent="0.35">
      <c r="T89" s="291"/>
      <c r="U89" s="304"/>
      <c r="V89" s="296"/>
      <c r="W89" s="55" t="s">
        <v>280</v>
      </c>
      <c r="X89" s="56">
        <v>4350000</v>
      </c>
      <c r="Y89" s="291"/>
    </row>
    <row r="90" spans="12:25" ht="15" thickBot="1" x14ac:dyDescent="0.35">
      <c r="T90" s="308" t="s">
        <v>287</v>
      </c>
      <c r="U90" s="322">
        <v>174</v>
      </c>
      <c r="V90" s="57" t="s">
        <v>281</v>
      </c>
      <c r="W90" s="57" t="s">
        <v>280</v>
      </c>
      <c r="X90" s="58">
        <v>870000</v>
      </c>
      <c r="Y90" s="308" t="s">
        <v>288</v>
      </c>
    </row>
    <row r="91" spans="12:25" ht="15" thickBot="1" x14ac:dyDescent="0.35">
      <c r="T91" s="309"/>
      <c r="U91" s="323"/>
      <c r="V91" s="311" t="s">
        <v>284</v>
      </c>
      <c r="W91" s="57" t="s">
        <v>278</v>
      </c>
      <c r="X91" s="58">
        <v>87000</v>
      </c>
      <c r="Y91" s="309"/>
    </row>
    <row r="92" spans="12:25" ht="15" thickBot="1" x14ac:dyDescent="0.35">
      <c r="T92" s="309"/>
      <c r="U92" s="323"/>
      <c r="V92" s="312"/>
      <c r="W92" s="57" t="s">
        <v>280</v>
      </c>
      <c r="X92" s="58">
        <v>4350000</v>
      </c>
      <c r="Y92" s="309"/>
    </row>
    <row r="93" spans="12:25" ht="15" thickBot="1" x14ac:dyDescent="0.35">
      <c r="T93" s="310"/>
      <c r="U93" s="324"/>
      <c r="V93" s="313"/>
      <c r="W93" s="57" t="s">
        <v>280</v>
      </c>
      <c r="X93" s="58">
        <v>4350000</v>
      </c>
      <c r="Y93" s="310"/>
    </row>
    <row r="96" spans="12:25" ht="15" thickBot="1" x14ac:dyDescent="0.35">
      <c r="L96" s="61" t="s">
        <v>297</v>
      </c>
      <c r="T96" t="s">
        <v>311</v>
      </c>
    </row>
    <row r="97" spans="12:25" ht="36" customHeight="1" x14ac:dyDescent="0.3">
      <c r="T97" s="277" t="s">
        <v>1035</v>
      </c>
      <c r="U97" s="49" t="s">
        <v>298</v>
      </c>
      <c r="V97" s="49" t="s">
        <v>272</v>
      </c>
      <c r="W97" s="49" t="s">
        <v>225</v>
      </c>
      <c r="X97" s="49" t="s">
        <v>273</v>
      </c>
      <c r="Y97" s="49" t="s">
        <v>301</v>
      </c>
    </row>
    <row r="98" spans="12:25" ht="15" thickBot="1" x14ac:dyDescent="0.35">
      <c r="L98" t="s">
        <v>262</v>
      </c>
      <c r="T98" s="279"/>
      <c r="U98" s="50" t="s">
        <v>274</v>
      </c>
      <c r="V98" s="50" t="s">
        <v>299</v>
      </c>
      <c r="W98" s="50" t="s">
        <v>300</v>
      </c>
      <c r="X98" s="50" t="s">
        <v>274</v>
      </c>
      <c r="Y98" s="50" t="s">
        <v>274</v>
      </c>
    </row>
    <row r="99" spans="12:25" ht="15" thickBot="1" x14ac:dyDescent="0.35">
      <c r="L99" t="s">
        <v>296</v>
      </c>
      <c r="M99" t="s">
        <v>295</v>
      </c>
      <c r="T99" s="316" t="s">
        <v>276</v>
      </c>
      <c r="U99" s="325">
        <v>489387</v>
      </c>
      <c r="V99" s="319" t="s">
        <v>302</v>
      </c>
      <c r="W99" s="51" t="s">
        <v>303</v>
      </c>
      <c r="X99" s="52">
        <v>17734</v>
      </c>
      <c r="Y99" s="316" t="s">
        <v>304</v>
      </c>
    </row>
    <row r="100" spans="12:25" ht="15" thickBot="1" x14ac:dyDescent="0.35">
      <c r="L100" t="s">
        <v>291</v>
      </c>
      <c r="M100" t="s">
        <v>292</v>
      </c>
      <c r="T100" s="317"/>
      <c r="U100" s="326"/>
      <c r="V100" s="320"/>
      <c r="W100" s="51" t="s">
        <v>305</v>
      </c>
      <c r="X100" s="52">
        <v>88668</v>
      </c>
      <c r="Y100" s="317"/>
    </row>
    <row r="101" spans="12:25" ht="15" thickBot="1" x14ac:dyDescent="0.35">
      <c r="L101" t="s">
        <v>267</v>
      </c>
      <c r="M101" t="s">
        <v>293</v>
      </c>
      <c r="T101" s="317"/>
      <c r="U101" s="326"/>
      <c r="V101" s="321"/>
      <c r="W101" s="51" t="s">
        <v>303</v>
      </c>
      <c r="X101" s="52">
        <v>17734</v>
      </c>
      <c r="Y101" s="317"/>
    </row>
    <row r="102" spans="12:25" ht="15" thickBot="1" x14ac:dyDescent="0.35">
      <c r="L102" t="s">
        <v>269</v>
      </c>
      <c r="M102" t="s">
        <v>294</v>
      </c>
      <c r="T102" s="318"/>
      <c r="U102" s="327"/>
      <c r="V102" s="51" t="s">
        <v>306</v>
      </c>
      <c r="W102" s="51" t="s">
        <v>303</v>
      </c>
      <c r="X102" s="52">
        <v>35467</v>
      </c>
      <c r="Y102" s="318"/>
    </row>
    <row r="103" spans="12:25" ht="15" thickBot="1" x14ac:dyDescent="0.35">
      <c r="T103" s="286" t="s">
        <v>282</v>
      </c>
      <c r="U103" s="305">
        <v>752458</v>
      </c>
      <c r="V103" s="300" t="s">
        <v>302</v>
      </c>
      <c r="W103" s="53" t="s">
        <v>303</v>
      </c>
      <c r="X103" s="54">
        <v>162558</v>
      </c>
      <c r="Y103" s="286" t="s">
        <v>307</v>
      </c>
    </row>
    <row r="104" spans="12:25" ht="15" thickBot="1" x14ac:dyDescent="0.35">
      <c r="T104" s="287"/>
      <c r="U104" s="306"/>
      <c r="V104" s="315"/>
      <c r="W104" s="53" t="s">
        <v>303</v>
      </c>
      <c r="X104" s="54">
        <v>310338</v>
      </c>
      <c r="Y104" s="287"/>
    </row>
    <row r="105" spans="12:25" ht="15" thickBot="1" x14ac:dyDescent="0.35">
      <c r="T105" s="287"/>
      <c r="U105" s="306"/>
      <c r="V105" s="315"/>
      <c r="W105" s="53" t="s">
        <v>305</v>
      </c>
      <c r="X105" s="54">
        <v>88668</v>
      </c>
      <c r="Y105" s="287"/>
    </row>
    <row r="106" spans="12:25" ht="15" thickBot="1" x14ac:dyDescent="0.35">
      <c r="T106" s="287"/>
      <c r="U106" s="306"/>
      <c r="V106" s="301"/>
      <c r="W106" s="53" t="s">
        <v>305</v>
      </c>
      <c r="X106" s="54">
        <v>812790</v>
      </c>
      <c r="Y106" s="287"/>
    </row>
    <row r="107" spans="12:25" ht="15" thickBot="1" x14ac:dyDescent="0.35">
      <c r="T107" s="287"/>
      <c r="U107" s="306"/>
      <c r="V107" s="300" t="s">
        <v>306</v>
      </c>
      <c r="W107" s="53" t="s">
        <v>303</v>
      </c>
      <c r="X107" s="54">
        <v>35467</v>
      </c>
      <c r="Y107" s="287"/>
    </row>
    <row r="108" spans="12:25" ht="15" thickBot="1" x14ac:dyDescent="0.35">
      <c r="T108" s="287"/>
      <c r="U108" s="306"/>
      <c r="V108" s="301"/>
      <c r="W108" s="53" t="s">
        <v>305</v>
      </c>
      <c r="X108" s="54">
        <v>177336</v>
      </c>
      <c r="Y108" s="287"/>
    </row>
    <row r="109" spans="12:25" ht="15" thickBot="1" x14ac:dyDescent="0.35">
      <c r="T109" s="288"/>
      <c r="U109" s="307"/>
      <c r="V109" s="53" t="s">
        <v>308</v>
      </c>
      <c r="W109" s="53" t="s">
        <v>303</v>
      </c>
      <c r="X109" s="54">
        <v>177336</v>
      </c>
      <c r="Y109" s="288"/>
    </row>
    <row r="110" spans="12:25" ht="15" thickBot="1" x14ac:dyDescent="0.35">
      <c r="T110" s="289" t="s">
        <v>285</v>
      </c>
      <c r="U110" s="302">
        <v>1448218</v>
      </c>
      <c r="V110" s="55" t="s">
        <v>302</v>
      </c>
      <c r="W110" s="55" t="s">
        <v>305</v>
      </c>
      <c r="X110" s="56">
        <v>14851890</v>
      </c>
      <c r="Y110" s="289" t="s">
        <v>309</v>
      </c>
    </row>
    <row r="111" spans="12:25" ht="15" thickBot="1" x14ac:dyDescent="0.35">
      <c r="T111" s="290"/>
      <c r="U111" s="303"/>
      <c r="V111" s="295" t="s">
        <v>306</v>
      </c>
      <c r="W111" s="55" t="s">
        <v>303</v>
      </c>
      <c r="X111" s="56">
        <v>325116</v>
      </c>
      <c r="Y111" s="290"/>
    </row>
    <row r="112" spans="12:25" ht="15" thickBot="1" x14ac:dyDescent="0.35">
      <c r="T112" s="290"/>
      <c r="U112" s="303"/>
      <c r="V112" s="314"/>
      <c r="W112" s="55" t="s">
        <v>303</v>
      </c>
      <c r="X112" s="56">
        <v>5940756</v>
      </c>
      <c r="Y112" s="290"/>
    </row>
    <row r="113" spans="6:26" ht="15" thickBot="1" x14ac:dyDescent="0.35">
      <c r="T113" s="290"/>
      <c r="U113" s="303"/>
      <c r="V113" s="314"/>
      <c r="W113" s="55" t="s">
        <v>305</v>
      </c>
      <c r="X113" s="56">
        <v>177336</v>
      </c>
      <c r="Y113" s="290"/>
    </row>
    <row r="114" spans="6:26" ht="15" thickBot="1" x14ac:dyDescent="0.35">
      <c r="T114" s="290"/>
      <c r="U114" s="303"/>
      <c r="V114" s="296"/>
      <c r="W114" s="55" t="s">
        <v>305</v>
      </c>
      <c r="X114" s="56">
        <v>1625580</v>
      </c>
      <c r="Y114" s="290"/>
    </row>
    <row r="115" spans="6:26" ht="15" thickBot="1" x14ac:dyDescent="0.35">
      <c r="T115" s="290"/>
      <c r="U115" s="303"/>
      <c r="V115" s="295" t="s">
        <v>308</v>
      </c>
      <c r="W115" s="55" t="s">
        <v>303</v>
      </c>
      <c r="X115" s="56">
        <v>177336</v>
      </c>
      <c r="Y115" s="290"/>
    </row>
    <row r="116" spans="6:26" ht="15" thickBot="1" x14ac:dyDescent="0.35">
      <c r="T116" s="290"/>
      <c r="U116" s="303"/>
      <c r="V116" s="314"/>
      <c r="W116" s="55" t="s">
        <v>303</v>
      </c>
      <c r="X116" s="56">
        <v>1625580</v>
      </c>
      <c r="Y116" s="290"/>
    </row>
    <row r="117" spans="6:26" ht="15" thickBot="1" x14ac:dyDescent="0.35">
      <c r="T117" s="290"/>
      <c r="U117" s="303"/>
      <c r="V117" s="314"/>
      <c r="W117" s="55" t="s">
        <v>305</v>
      </c>
      <c r="X117" s="56">
        <v>886680</v>
      </c>
      <c r="Y117" s="290"/>
    </row>
    <row r="118" spans="6:26" ht="15" thickBot="1" x14ac:dyDescent="0.35">
      <c r="T118" s="291"/>
      <c r="U118" s="304"/>
      <c r="V118" s="296"/>
      <c r="W118" s="55" t="s">
        <v>305</v>
      </c>
      <c r="X118" s="56">
        <v>886680</v>
      </c>
      <c r="Y118" s="291"/>
    </row>
    <row r="119" spans="6:26" ht="15" thickBot="1" x14ac:dyDescent="0.35">
      <c r="T119" s="308" t="s">
        <v>287</v>
      </c>
      <c r="U119" s="322">
        <v>6032786</v>
      </c>
      <c r="V119" s="57" t="s">
        <v>306</v>
      </c>
      <c r="W119" s="57" t="s">
        <v>305</v>
      </c>
      <c r="X119" s="58">
        <v>29703780</v>
      </c>
      <c r="Y119" s="308" t="s">
        <v>310</v>
      </c>
    </row>
    <row r="120" spans="6:26" ht="15" thickBot="1" x14ac:dyDescent="0.35">
      <c r="T120" s="309"/>
      <c r="U120" s="323"/>
      <c r="V120" s="311" t="s">
        <v>308</v>
      </c>
      <c r="W120" s="57" t="s">
        <v>303</v>
      </c>
      <c r="X120" s="58">
        <v>29703780</v>
      </c>
      <c r="Y120" s="309"/>
    </row>
    <row r="121" spans="6:26" ht="15" thickBot="1" x14ac:dyDescent="0.35">
      <c r="T121" s="309"/>
      <c r="U121" s="323"/>
      <c r="V121" s="312"/>
      <c r="W121" s="57" t="s">
        <v>305</v>
      </c>
      <c r="X121" s="58">
        <v>8127900</v>
      </c>
      <c r="Y121" s="309"/>
    </row>
    <row r="122" spans="6:26" ht="15" thickBot="1" x14ac:dyDescent="0.35">
      <c r="T122" s="310"/>
      <c r="U122" s="324"/>
      <c r="V122" s="313"/>
      <c r="W122" s="57" t="s">
        <v>305</v>
      </c>
      <c r="X122" s="58">
        <v>148518900</v>
      </c>
      <c r="Y122" s="310"/>
    </row>
    <row r="123" spans="6:26" ht="15" thickBot="1" x14ac:dyDescent="0.35"/>
    <row r="124" spans="6:26" ht="24" customHeight="1" x14ac:dyDescent="0.3">
      <c r="F124" s="63" t="s">
        <v>312</v>
      </c>
      <c r="Q124" t="s">
        <v>337</v>
      </c>
      <c r="T124" s="277" t="s">
        <v>1035</v>
      </c>
      <c r="U124" s="49" t="s">
        <v>324</v>
      </c>
      <c r="V124" s="277" t="s">
        <v>272</v>
      </c>
      <c r="W124" s="49" t="s">
        <v>225</v>
      </c>
      <c r="X124" s="277" t="s">
        <v>327</v>
      </c>
      <c r="Y124" s="49" t="s">
        <v>273</v>
      </c>
      <c r="Z124" s="49" t="s">
        <v>328</v>
      </c>
    </row>
    <row r="125" spans="6:26" ht="15" thickBot="1" x14ac:dyDescent="0.35">
      <c r="T125" s="279"/>
      <c r="U125" s="50" t="s">
        <v>325</v>
      </c>
      <c r="V125" s="279"/>
      <c r="W125" s="50" t="s">
        <v>326</v>
      </c>
      <c r="X125" s="279"/>
      <c r="Y125" s="50" t="s">
        <v>274</v>
      </c>
      <c r="Z125" s="50" t="s">
        <v>274</v>
      </c>
    </row>
    <row r="126" spans="6:26" ht="15" thickBot="1" x14ac:dyDescent="0.35">
      <c r="F126" s="62" t="s">
        <v>262</v>
      </c>
      <c r="T126" s="316" t="s">
        <v>276</v>
      </c>
      <c r="U126" s="325">
        <v>748</v>
      </c>
      <c r="V126" s="319" t="s">
        <v>277</v>
      </c>
      <c r="W126" s="51" t="s">
        <v>303</v>
      </c>
      <c r="X126" s="51" t="s">
        <v>329</v>
      </c>
      <c r="Y126" s="52">
        <v>299</v>
      </c>
      <c r="Z126" s="316" t="s">
        <v>330</v>
      </c>
    </row>
    <row r="127" spans="6:26" ht="15" thickBot="1" x14ac:dyDescent="0.35">
      <c r="F127" s="62" t="s">
        <v>313</v>
      </c>
      <c r="G127" s="62" t="s">
        <v>314</v>
      </c>
      <c r="H127" s="62"/>
      <c r="I127" s="62"/>
      <c r="T127" s="317"/>
      <c r="U127" s="326"/>
      <c r="V127" s="320"/>
      <c r="W127" s="51" t="s">
        <v>305</v>
      </c>
      <c r="X127" s="51" t="s">
        <v>329</v>
      </c>
      <c r="Y127" s="52">
        <v>1496</v>
      </c>
      <c r="Z127" s="317"/>
    </row>
    <row r="128" spans="6:26" ht="15" thickBot="1" x14ac:dyDescent="0.35">
      <c r="F128" s="62" t="s">
        <v>315</v>
      </c>
      <c r="G128" s="62" t="s">
        <v>316</v>
      </c>
      <c r="H128" s="62"/>
      <c r="I128" s="62"/>
      <c r="T128" s="317"/>
      <c r="U128" s="326"/>
      <c r="V128" s="321"/>
      <c r="W128" s="51" t="s">
        <v>303</v>
      </c>
      <c r="X128" s="51" t="s">
        <v>331</v>
      </c>
      <c r="Y128" s="52">
        <v>299</v>
      </c>
      <c r="Z128" s="317"/>
    </row>
    <row r="129" spans="6:26" ht="15.6" thickBot="1" x14ac:dyDescent="0.35">
      <c r="F129" s="62" t="s">
        <v>317</v>
      </c>
      <c r="G129" s="62" t="s">
        <v>318</v>
      </c>
      <c r="H129" s="62"/>
      <c r="I129" s="62"/>
      <c r="T129" s="318"/>
      <c r="U129" s="327"/>
      <c r="V129" s="51" t="s">
        <v>281</v>
      </c>
      <c r="W129" s="51" t="s">
        <v>303</v>
      </c>
      <c r="X129" s="51" t="s">
        <v>329</v>
      </c>
      <c r="Y129" s="52">
        <v>598</v>
      </c>
      <c r="Z129" s="318"/>
    </row>
    <row r="130" spans="6:26" ht="15" thickBot="1" x14ac:dyDescent="0.35">
      <c r="F130" s="62" t="s">
        <v>269</v>
      </c>
      <c r="G130" s="62" t="s">
        <v>319</v>
      </c>
      <c r="H130" s="62"/>
      <c r="I130" s="62"/>
      <c r="T130" s="286" t="s">
        <v>282</v>
      </c>
      <c r="U130" s="305">
        <v>748</v>
      </c>
      <c r="V130" s="300" t="s">
        <v>277</v>
      </c>
      <c r="W130" s="53" t="s">
        <v>303</v>
      </c>
      <c r="X130" s="53" t="s">
        <v>332</v>
      </c>
      <c r="Y130" s="54">
        <v>1496</v>
      </c>
      <c r="Z130" s="286" t="s">
        <v>333</v>
      </c>
    </row>
    <row r="131" spans="6:26" ht="15.6" thickBot="1" x14ac:dyDescent="0.35">
      <c r="F131" s="62" t="s">
        <v>320</v>
      </c>
      <c r="G131" s="62" t="s">
        <v>321</v>
      </c>
      <c r="H131" s="62"/>
      <c r="T131" s="287"/>
      <c r="U131" s="306"/>
      <c r="V131" s="315"/>
      <c r="W131" s="53" t="s">
        <v>303</v>
      </c>
      <c r="X131" s="53" t="s">
        <v>334</v>
      </c>
      <c r="Y131" s="54">
        <v>29920</v>
      </c>
      <c r="Z131" s="287"/>
    </row>
    <row r="132" spans="6:26" ht="15" thickBot="1" x14ac:dyDescent="0.35">
      <c r="F132" s="62" t="s">
        <v>322</v>
      </c>
      <c r="G132" s="62" t="s">
        <v>323</v>
      </c>
      <c r="H132" s="62"/>
      <c r="I132" s="62"/>
      <c r="T132" s="287"/>
      <c r="U132" s="306"/>
      <c r="V132" s="315"/>
      <c r="W132" s="53" t="s">
        <v>305</v>
      </c>
      <c r="X132" s="53" t="s">
        <v>331</v>
      </c>
      <c r="Y132" s="54">
        <v>1496</v>
      </c>
      <c r="Z132" s="287"/>
    </row>
    <row r="133" spans="6:26" ht="15" thickBot="1" x14ac:dyDescent="0.35">
      <c r="T133" s="287"/>
      <c r="U133" s="306"/>
      <c r="V133" s="301"/>
      <c r="W133" s="53" t="s">
        <v>305</v>
      </c>
      <c r="X133" s="53" t="s">
        <v>332</v>
      </c>
      <c r="Y133" s="54">
        <v>7480</v>
      </c>
      <c r="Z133" s="287"/>
    </row>
    <row r="134" spans="6:26" ht="15" thickBot="1" x14ac:dyDescent="0.35">
      <c r="T134" s="287"/>
      <c r="U134" s="306"/>
      <c r="V134" s="300" t="s">
        <v>281</v>
      </c>
      <c r="W134" s="53" t="s">
        <v>303</v>
      </c>
      <c r="X134" s="53" t="s">
        <v>331</v>
      </c>
      <c r="Y134" s="54">
        <v>598</v>
      </c>
      <c r="Z134" s="287"/>
    </row>
    <row r="135" spans="6:26" ht="15" thickBot="1" x14ac:dyDescent="0.35">
      <c r="T135" s="287"/>
      <c r="U135" s="306"/>
      <c r="V135" s="301"/>
      <c r="W135" s="53" t="s">
        <v>305</v>
      </c>
      <c r="X135" s="53" t="s">
        <v>329</v>
      </c>
      <c r="Y135" s="54">
        <v>2992</v>
      </c>
      <c r="Z135" s="287"/>
    </row>
    <row r="136" spans="6:26" ht="15" thickBot="1" x14ac:dyDescent="0.35">
      <c r="T136" s="288"/>
      <c r="U136" s="307"/>
      <c r="V136" s="53" t="s">
        <v>284</v>
      </c>
      <c r="W136" s="53" t="s">
        <v>303</v>
      </c>
      <c r="X136" s="53" t="s">
        <v>329</v>
      </c>
      <c r="Y136" s="54">
        <v>2992</v>
      </c>
      <c r="Z136" s="288"/>
    </row>
    <row r="137" spans="6:26" ht="15" thickBot="1" x14ac:dyDescent="0.35">
      <c r="T137" s="289" t="s">
        <v>285</v>
      </c>
      <c r="U137" s="302">
        <v>748</v>
      </c>
      <c r="V137" s="55" t="s">
        <v>277</v>
      </c>
      <c r="W137" s="55" t="s">
        <v>305</v>
      </c>
      <c r="X137" s="55" t="s">
        <v>334</v>
      </c>
      <c r="Y137" s="56">
        <v>149600</v>
      </c>
      <c r="Z137" s="289" t="s">
        <v>335</v>
      </c>
    </row>
    <row r="138" spans="6:26" ht="15" thickBot="1" x14ac:dyDescent="0.35">
      <c r="T138" s="290"/>
      <c r="U138" s="303"/>
      <c r="V138" s="295" t="s">
        <v>281</v>
      </c>
      <c r="W138" s="55" t="s">
        <v>303</v>
      </c>
      <c r="X138" s="55" t="s">
        <v>332</v>
      </c>
      <c r="Y138" s="56">
        <v>2992</v>
      </c>
      <c r="Z138" s="290"/>
    </row>
    <row r="139" spans="6:26" ht="15" thickBot="1" x14ac:dyDescent="0.35">
      <c r="T139" s="290"/>
      <c r="U139" s="303"/>
      <c r="V139" s="314"/>
      <c r="W139" s="55" t="s">
        <v>303</v>
      </c>
      <c r="X139" s="55" t="s">
        <v>334</v>
      </c>
      <c r="Y139" s="56">
        <v>59840</v>
      </c>
      <c r="Z139" s="290"/>
    </row>
    <row r="140" spans="6:26" ht="15" thickBot="1" x14ac:dyDescent="0.35">
      <c r="T140" s="290"/>
      <c r="U140" s="303"/>
      <c r="V140" s="314"/>
      <c r="W140" s="55" t="s">
        <v>305</v>
      </c>
      <c r="X140" s="55" t="s">
        <v>331</v>
      </c>
      <c r="Y140" s="56">
        <v>2992</v>
      </c>
      <c r="Z140" s="290"/>
    </row>
    <row r="141" spans="6:26" ht="15" thickBot="1" x14ac:dyDescent="0.35">
      <c r="T141" s="290"/>
      <c r="U141" s="303"/>
      <c r="V141" s="296"/>
      <c r="W141" s="55" t="s">
        <v>305</v>
      </c>
      <c r="X141" s="55" t="s">
        <v>332</v>
      </c>
      <c r="Y141" s="56">
        <v>14960</v>
      </c>
      <c r="Z141" s="290"/>
    </row>
    <row r="142" spans="6:26" ht="15" thickBot="1" x14ac:dyDescent="0.35">
      <c r="T142" s="290"/>
      <c r="U142" s="303"/>
      <c r="V142" s="295" t="s">
        <v>284</v>
      </c>
      <c r="W142" s="55" t="s">
        <v>303</v>
      </c>
      <c r="X142" s="55" t="s">
        <v>331</v>
      </c>
      <c r="Y142" s="56">
        <v>2992</v>
      </c>
      <c r="Z142" s="290"/>
    </row>
    <row r="143" spans="6:26" ht="15" thickBot="1" x14ac:dyDescent="0.35">
      <c r="T143" s="290"/>
      <c r="U143" s="303"/>
      <c r="V143" s="314"/>
      <c r="W143" s="55" t="s">
        <v>303</v>
      </c>
      <c r="X143" s="55" t="s">
        <v>332</v>
      </c>
      <c r="Y143" s="56">
        <v>14960</v>
      </c>
      <c r="Z143" s="290"/>
    </row>
    <row r="144" spans="6:26" ht="15" thickBot="1" x14ac:dyDescent="0.35">
      <c r="T144" s="290"/>
      <c r="U144" s="303"/>
      <c r="V144" s="314"/>
      <c r="W144" s="55" t="s">
        <v>305</v>
      </c>
      <c r="X144" s="55" t="s">
        <v>329</v>
      </c>
      <c r="Y144" s="56">
        <v>14960</v>
      </c>
      <c r="Z144" s="290"/>
    </row>
    <row r="145" spans="6:26" ht="15" thickBot="1" x14ac:dyDescent="0.35">
      <c r="T145" s="291"/>
      <c r="U145" s="304"/>
      <c r="V145" s="296"/>
      <c r="W145" s="55" t="s">
        <v>305</v>
      </c>
      <c r="X145" s="55" t="s">
        <v>331</v>
      </c>
      <c r="Y145" s="56">
        <v>14960</v>
      </c>
      <c r="Z145" s="291"/>
    </row>
    <row r="146" spans="6:26" ht="15" thickBot="1" x14ac:dyDescent="0.35">
      <c r="T146" s="308" t="s">
        <v>287</v>
      </c>
      <c r="U146" s="322">
        <v>748</v>
      </c>
      <c r="V146" s="57" t="s">
        <v>281</v>
      </c>
      <c r="W146" s="57" t="s">
        <v>305</v>
      </c>
      <c r="X146" s="57" t="s">
        <v>334</v>
      </c>
      <c r="Y146" s="58">
        <v>299200</v>
      </c>
      <c r="Z146" s="308" t="s">
        <v>336</v>
      </c>
    </row>
    <row r="147" spans="6:26" ht="15" thickBot="1" x14ac:dyDescent="0.35">
      <c r="T147" s="309"/>
      <c r="U147" s="323"/>
      <c r="V147" s="311" t="s">
        <v>284</v>
      </c>
      <c r="W147" s="57" t="s">
        <v>303</v>
      </c>
      <c r="X147" s="57" t="s">
        <v>334</v>
      </c>
      <c r="Y147" s="58">
        <v>299200</v>
      </c>
      <c r="Z147" s="309"/>
    </row>
    <row r="148" spans="6:26" ht="15" thickBot="1" x14ac:dyDescent="0.35">
      <c r="T148" s="309"/>
      <c r="U148" s="323"/>
      <c r="V148" s="312"/>
      <c r="W148" s="57" t="s">
        <v>305</v>
      </c>
      <c r="X148" s="57" t="s">
        <v>332</v>
      </c>
      <c r="Y148" s="58">
        <v>74800</v>
      </c>
      <c r="Z148" s="309"/>
    </row>
    <row r="149" spans="6:26" ht="15" thickBot="1" x14ac:dyDescent="0.35">
      <c r="T149" s="310"/>
      <c r="U149" s="324"/>
      <c r="V149" s="313"/>
      <c r="W149" s="57" t="s">
        <v>305</v>
      </c>
      <c r="X149" s="57" t="s">
        <v>334</v>
      </c>
      <c r="Y149" s="58">
        <v>1496000</v>
      </c>
      <c r="Z149" s="310"/>
    </row>
    <row r="152" spans="6:26" x14ac:dyDescent="0.3">
      <c r="L152" t="s">
        <v>338</v>
      </c>
    </row>
    <row r="153" spans="6:26" ht="15" thickBot="1" x14ac:dyDescent="0.35"/>
    <row r="154" spans="6:26" ht="24" customHeight="1" x14ac:dyDescent="0.3">
      <c r="F154" s="61" t="s">
        <v>339</v>
      </c>
      <c r="T154" s="277" t="s">
        <v>1035</v>
      </c>
      <c r="U154" s="49" t="s">
        <v>324</v>
      </c>
      <c r="V154" s="49" t="s">
        <v>346</v>
      </c>
      <c r="W154" s="49" t="s">
        <v>225</v>
      </c>
      <c r="X154" s="277" t="s">
        <v>327</v>
      </c>
      <c r="Y154" s="49" t="s">
        <v>273</v>
      </c>
      <c r="Z154" s="49" t="s">
        <v>347</v>
      </c>
    </row>
    <row r="155" spans="6:26" ht="15" thickBot="1" x14ac:dyDescent="0.35">
      <c r="T155" s="279"/>
      <c r="U155" s="50" t="s">
        <v>274</v>
      </c>
      <c r="V155" s="50" t="s">
        <v>274</v>
      </c>
      <c r="W155" s="50" t="s">
        <v>326</v>
      </c>
      <c r="X155" s="279"/>
      <c r="Y155" s="50" t="s">
        <v>274</v>
      </c>
      <c r="Z155" s="50" t="s">
        <v>274</v>
      </c>
    </row>
    <row r="156" spans="6:26" ht="15" thickBot="1" x14ac:dyDescent="0.35">
      <c r="F156" s="62" t="s">
        <v>262</v>
      </c>
      <c r="T156" s="316" t="s">
        <v>276</v>
      </c>
      <c r="U156" s="325">
        <v>13754</v>
      </c>
      <c r="V156" s="325">
        <v>1341</v>
      </c>
      <c r="W156" s="51" t="s">
        <v>303</v>
      </c>
      <c r="X156" s="51" t="s">
        <v>329</v>
      </c>
      <c r="Y156" s="52">
        <v>55015</v>
      </c>
      <c r="Z156" s="316" t="s">
        <v>348</v>
      </c>
    </row>
    <row r="157" spans="6:26" ht="15" thickBot="1" x14ac:dyDescent="0.35">
      <c r="F157" s="62" t="s">
        <v>340</v>
      </c>
      <c r="G157" s="62" t="s">
        <v>341</v>
      </c>
      <c r="H157" s="62"/>
      <c r="I157" s="62"/>
      <c r="T157" s="317"/>
      <c r="U157" s="326"/>
      <c r="V157" s="326"/>
      <c r="W157" s="51" t="s">
        <v>305</v>
      </c>
      <c r="X157" s="51" t="s">
        <v>329</v>
      </c>
      <c r="Y157" s="52">
        <v>275076</v>
      </c>
      <c r="Z157" s="317"/>
    </row>
    <row r="158" spans="6:26" ht="15" thickBot="1" x14ac:dyDescent="0.35">
      <c r="F158" s="62" t="s">
        <v>342</v>
      </c>
      <c r="G158" s="62" t="s">
        <v>343</v>
      </c>
      <c r="H158" s="62"/>
      <c r="I158" s="62"/>
      <c r="T158" s="317"/>
      <c r="U158" s="326"/>
      <c r="V158" s="326"/>
      <c r="W158" s="51" t="s">
        <v>303</v>
      </c>
      <c r="X158" s="51" t="s">
        <v>331</v>
      </c>
      <c r="Y158" s="52">
        <v>55015</v>
      </c>
      <c r="Z158" s="317"/>
    </row>
    <row r="159" spans="6:26" ht="15.6" thickBot="1" x14ac:dyDescent="0.35">
      <c r="F159" s="62" t="s">
        <v>317</v>
      </c>
      <c r="G159" s="62" t="s">
        <v>318</v>
      </c>
      <c r="H159" s="62"/>
      <c r="I159" s="62"/>
      <c r="T159" s="318"/>
      <c r="U159" s="327"/>
      <c r="V159" s="327"/>
      <c r="W159" s="51" t="s">
        <v>303</v>
      </c>
      <c r="X159" s="51" t="s">
        <v>329</v>
      </c>
      <c r="Y159" s="52">
        <v>55015</v>
      </c>
      <c r="Z159" s="318"/>
    </row>
    <row r="160" spans="6:26" ht="15.6" thickBot="1" x14ac:dyDescent="0.35">
      <c r="F160" s="62" t="s">
        <v>320</v>
      </c>
      <c r="G160" s="62" t="s">
        <v>321</v>
      </c>
      <c r="H160" s="62"/>
      <c r="T160" s="286" t="s">
        <v>282</v>
      </c>
      <c r="U160" s="305">
        <v>63217</v>
      </c>
      <c r="V160" s="305">
        <v>33542</v>
      </c>
      <c r="W160" s="53" t="s">
        <v>349</v>
      </c>
      <c r="X160" s="53" t="s">
        <v>332</v>
      </c>
      <c r="Y160" s="54">
        <v>1740310</v>
      </c>
      <c r="Z160" s="286" t="s">
        <v>350</v>
      </c>
    </row>
    <row r="161" spans="6:26" ht="15" thickBot="1" x14ac:dyDescent="0.35">
      <c r="F161" s="62" t="s">
        <v>344</v>
      </c>
      <c r="G161" s="62" t="s">
        <v>345</v>
      </c>
      <c r="H161" s="62"/>
      <c r="I161" s="62"/>
      <c r="T161" s="287"/>
      <c r="U161" s="306"/>
      <c r="V161" s="306"/>
      <c r="W161" s="53" t="s">
        <v>349</v>
      </c>
      <c r="X161" s="53" t="s">
        <v>351</v>
      </c>
      <c r="Y161" s="54">
        <v>33605067</v>
      </c>
      <c r="Z161" s="287"/>
    </row>
    <row r="162" spans="6:26" ht="15" thickBot="1" x14ac:dyDescent="0.35">
      <c r="T162" s="287"/>
      <c r="U162" s="306"/>
      <c r="V162" s="306"/>
      <c r="W162" s="53" t="s">
        <v>352</v>
      </c>
      <c r="X162" s="53" t="s">
        <v>331</v>
      </c>
      <c r="Y162" s="54">
        <v>96759</v>
      </c>
      <c r="Z162" s="287"/>
    </row>
    <row r="163" spans="6:26" ht="15" thickBot="1" x14ac:dyDescent="0.35">
      <c r="T163" s="287"/>
      <c r="U163" s="306"/>
      <c r="V163" s="306"/>
      <c r="W163" s="53" t="s">
        <v>352</v>
      </c>
      <c r="X163" s="53" t="s">
        <v>353</v>
      </c>
      <c r="Y163" s="54">
        <v>1740310</v>
      </c>
      <c r="Z163" s="287"/>
    </row>
    <row r="164" spans="6:26" ht="15" thickBot="1" x14ac:dyDescent="0.35">
      <c r="T164" s="287"/>
      <c r="U164" s="306"/>
      <c r="V164" s="306"/>
      <c r="W164" s="53" t="s">
        <v>349</v>
      </c>
      <c r="X164" s="53" t="s">
        <v>331</v>
      </c>
      <c r="Y164" s="54">
        <v>96759</v>
      </c>
      <c r="Z164" s="287"/>
    </row>
    <row r="165" spans="6:26" ht="15" thickBot="1" x14ac:dyDescent="0.35">
      <c r="T165" s="287"/>
      <c r="U165" s="306"/>
      <c r="V165" s="306"/>
      <c r="W165" s="53" t="s">
        <v>352</v>
      </c>
      <c r="X165" s="53" t="s">
        <v>329</v>
      </c>
      <c r="Y165" s="54">
        <v>96759</v>
      </c>
      <c r="Z165" s="287"/>
    </row>
    <row r="166" spans="6:26" ht="15" thickBot="1" x14ac:dyDescent="0.35">
      <c r="T166" s="288"/>
      <c r="U166" s="307"/>
      <c r="V166" s="307"/>
      <c r="W166" s="53" t="s">
        <v>349</v>
      </c>
      <c r="X166" s="53" t="s">
        <v>329</v>
      </c>
      <c r="Y166" s="54">
        <v>96759</v>
      </c>
      <c r="Z166" s="288"/>
    </row>
    <row r="167" spans="6:26" ht="15" thickBot="1" x14ac:dyDescent="0.35">
      <c r="T167" s="289" t="s">
        <v>285</v>
      </c>
      <c r="U167" s="289" t="s">
        <v>354</v>
      </c>
      <c r="V167" s="302">
        <v>33542</v>
      </c>
      <c r="W167" s="55" t="s">
        <v>352</v>
      </c>
      <c r="X167" s="55" t="s">
        <v>351</v>
      </c>
      <c r="Y167" s="56">
        <v>38973118</v>
      </c>
      <c r="Z167" s="289" t="s">
        <v>355</v>
      </c>
    </row>
    <row r="168" spans="6:26" ht="15" thickBot="1" x14ac:dyDescent="0.35">
      <c r="T168" s="290"/>
      <c r="U168" s="290"/>
      <c r="V168" s="303"/>
      <c r="W168" s="55" t="s">
        <v>349</v>
      </c>
      <c r="X168" s="55" t="s">
        <v>353</v>
      </c>
      <c r="Y168" s="56">
        <v>7108361</v>
      </c>
      <c r="Z168" s="290"/>
    </row>
    <row r="169" spans="6:26" ht="15" thickBot="1" x14ac:dyDescent="0.35">
      <c r="T169" s="290"/>
      <c r="U169" s="290"/>
      <c r="V169" s="303"/>
      <c r="W169" s="55" t="s">
        <v>349</v>
      </c>
      <c r="X169" s="55" t="s">
        <v>351</v>
      </c>
      <c r="Y169" s="56">
        <v>38973118</v>
      </c>
      <c r="Z169" s="290"/>
    </row>
    <row r="170" spans="6:26" ht="15" thickBot="1" x14ac:dyDescent="0.35">
      <c r="T170" s="290"/>
      <c r="U170" s="290"/>
      <c r="V170" s="303"/>
      <c r="W170" s="55" t="s">
        <v>352</v>
      </c>
      <c r="X170" s="55" t="s">
        <v>331</v>
      </c>
      <c r="Y170" s="56">
        <v>5464810</v>
      </c>
      <c r="Z170" s="290"/>
    </row>
    <row r="171" spans="6:26" ht="15" thickBot="1" x14ac:dyDescent="0.35">
      <c r="T171" s="290"/>
      <c r="U171" s="290"/>
      <c r="V171" s="303"/>
      <c r="W171" s="55" t="s">
        <v>352</v>
      </c>
      <c r="X171" s="55" t="s">
        <v>353</v>
      </c>
      <c r="Y171" s="56">
        <v>7108361</v>
      </c>
      <c r="Z171" s="290"/>
    </row>
    <row r="172" spans="6:26" ht="15" thickBot="1" x14ac:dyDescent="0.35">
      <c r="T172" s="290"/>
      <c r="U172" s="290"/>
      <c r="V172" s="303"/>
      <c r="W172" s="55" t="s">
        <v>349</v>
      </c>
      <c r="X172" s="55" t="s">
        <v>331</v>
      </c>
      <c r="Y172" s="56">
        <v>5464810</v>
      </c>
      <c r="Z172" s="290"/>
    </row>
    <row r="173" spans="6:26" ht="15" thickBot="1" x14ac:dyDescent="0.35">
      <c r="T173" s="290"/>
      <c r="U173" s="290"/>
      <c r="V173" s="303"/>
      <c r="W173" s="55" t="s">
        <v>349</v>
      </c>
      <c r="X173" s="55" t="s">
        <v>353</v>
      </c>
      <c r="Y173" s="56">
        <v>7108361</v>
      </c>
      <c r="Z173" s="290"/>
    </row>
    <row r="174" spans="6:26" ht="15" thickBot="1" x14ac:dyDescent="0.35">
      <c r="T174" s="290"/>
      <c r="U174" s="290"/>
      <c r="V174" s="303"/>
      <c r="W174" s="55" t="s">
        <v>352</v>
      </c>
      <c r="X174" s="55" t="s">
        <v>329</v>
      </c>
      <c r="Y174" s="56">
        <v>5464810</v>
      </c>
      <c r="Z174" s="290"/>
    </row>
    <row r="175" spans="6:26" ht="15" thickBot="1" x14ac:dyDescent="0.35">
      <c r="T175" s="291"/>
      <c r="U175" s="291"/>
      <c r="V175" s="304"/>
      <c r="W175" s="55" t="s">
        <v>352</v>
      </c>
      <c r="X175" s="55" t="s">
        <v>331</v>
      </c>
      <c r="Y175" s="56">
        <v>5464810</v>
      </c>
      <c r="Z175" s="291"/>
    </row>
    <row r="176" spans="6:26" ht="15" thickBot="1" x14ac:dyDescent="0.35">
      <c r="T176" s="308" t="s">
        <v>287</v>
      </c>
      <c r="U176" s="308" t="s">
        <v>356</v>
      </c>
      <c r="V176" s="322">
        <v>33542</v>
      </c>
      <c r="W176" s="57" t="s">
        <v>352</v>
      </c>
      <c r="X176" s="57" t="s">
        <v>351</v>
      </c>
      <c r="Y176" s="58">
        <v>315444516</v>
      </c>
      <c r="Z176" s="308" t="s">
        <v>357</v>
      </c>
    </row>
    <row r="177" spans="6:27" ht="15" thickBot="1" x14ac:dyDescent="0.35">
      <c r="T177" s="309"/>
      <c r="U177" s="309"/>
      <c r="V177" s="323"/>
      <c r="W177" s="57" t="s">
        <v>349</v>
      </c>
      <c r="X177" s="57" t="s">
        <v>351</v>
      </c>
      <c r="Y177" s="58">
        <v>315444516</v>
      </c>
      <c r="Z177" s="309"/>
    </row>
    <row r="178" spans="6:27" ht="15" thickBot="1" x14ac:dyDescent="0.35">
      <c r="T178" s="309"/>
      <c r="U178" s="309"/>
      <c r="V178" s="323"/>
      <c r="W178" s="57" t="s">
        <v>352</v>
      </c>
      <c r="X178" s="57" t="s">
        <v>353</v>
      </c>
      <c r="Y178" s="58">
        <v>283579759</v>
      </c>
      <c r="Z178" s="309"/>
    </row>
    <row r="179" spans="6:27" ht="15" thickBot="1" x14ac:dyDescent="0.35">
      <c r="T179" s="310"/>
      <c r="U179" s="310"/>
      <c r="V179" s="324"/>
      <c r="W179" s="57" t="s">
        <v>352</v>
      </c>
      <c r="X179" s="57" t="s">
        <v>351</v>
      </c>
      <c r="Y179" s="58">
        <v>315444516</v>
      </c>
      <c r="Z179" s="310"/>
    </row>
    <row r="181" spans="6:27" x14ac:dyDescent="0.3">
      <c r="F181" s="61" t="s">
        <v>358</v>
      </c>
    </row>
    <row r="183" spans="6:27" ht="15" thickBot="1" x14ac:dyDescent="0.35">
      <c r="F183" s="62" t="s">
        <v>262</v>
      </c>
      <c r="Q183" t="s">
        <v>376</v>
      </c>
    </row>
    <row r="184" spans="6:27" ht="36" customHeight="1" x14ac:dyDescent="0.3">
      <c r="F184" s="62" t="s">
        <v>359</v>
      </c>
      <c r="G184" s="62" t="s">
        <v>360</v>
      </c>
      <c r="H184" s="62"/>
      <c r="I184" s="62"/>
      <c r="T184" s="277" t="s">
        <v>1035</v>
      </c>
      <c r="U184" s="49" t="s">
        <v>365</v>
      </c>
      <c r="V184" s="277" t="s">
        <v>272</v>
      </c>
      <c r="W184" s="49" t="s">
        <v>225</v>
      </c>
      <c r="X184" s="49" t="s">
        <v>366</v>
      </c>
      <c r="Y184" s="49" t="s">
        <v>368</v>
      </c>
      <c r="Z184" s="49" t="s">
        <v>273</v>
      </c>
      <c r="AA184" s="49" t="s">
        <v>369</v>
      </c>
    </row>
    <row r="185" spans="6:27" ht="15" thickBot="1" x14ac:dyDescent="0.35">
      <c r="F185" s="62" t="s">
        <v>361</v>
      </c>
      <c r="G185" s="62" t="s">
        <v>362</v>
      </c>
      <c r="H185" s="62"/>
      <c r="I185" s="62"/>
      <c r="T185" s="279"/>
      <c r="U185" s="50" t="s">
        <v>274</v>
      </c>
      <c r="V185" s="279"/>
      <c r="W185" s="50" t="s">
        <v>326</v>
      </c>
      <c r="X185" s="50" t="s">
        <v>367</v>
      </c>
      <c r="Y185" s="50" t="s">
        <v>367</v>
      </c>
      <c r="Z185" s="50" t="s">
        <v>274</v>
      </c>
      <c r="AA185" s="50" t="s">
        <v>274</v>
      </c>
    </row>
    <row r="186" spans="6:27" ht="15.6" thickBot="1" x14ac:dyDescent="0.35">
      <c r="F186" s="62" t="s">
        <v>317</v>
      </c>
      <c r="G186" s="62" t="s">
        <v>318</v>
      </c>
      <c r="H186" s="62"/>
      <c r="I186" s="62"/>
      <c r="T186" s="316" t="s">
        <v>276</v>
      </c>
      <c r="U186" s="319" t="s">
        <v>370</v>
      </c>
      <c r="V186" s="319" t="s">
        <v>277</v>
      </c>
      <c r="W186" s="51" t="s">
        <v>303</v>
      </c>
      <c r="X186" s="51" t="s">
        <v>329</v>
      </c>
      <c r="Y186" s="316">
        <v>5</v>
      </c>
      <c r="Z186" s="52">
        <v>17734</v>
      </c>
      <c r="AA186" s="316" t="s">
        <v>371</v>
      </c>
    </row>
    <row r="187" spans="6:27" ht="15.6" thickBot="1" x14ac:dyDescent="0.35">
      <c r="F187" s="62" t="s">
        <v>320</v>
      </c>
      <c r="G187" s="62" t="s">
        <v>321</v>
      </c>
      <c r="H187" s="62"/>
      <c r="T187" s="317"/>
      <c r="U187" s="320"/>
      <c r="V187" s="320"/>
      <c r="W187" s="51" t="s">
        <v>305</v>
      </c>
      <c r="X187" s="51" t="s">
        <v>329</v>
      </c>
      <c r="Y187" s="317"/>
      <c r="Z187" s="52">
        <v>88668</v>
      </c>
      <c r="AA187" s="317"/>
    </row>
    <row r="188" spans="6:27" ht="15" thickBot="1" x14ac:dyDescent="0.35">
      <c r="F188" s="62" t="s">
        <v>363</v>
      </c>
      <c r="G188" s="62" t="s">
        <v>364</v>
      </c>
      <c r="H188" s="62"/>
      <c r="I188" s="62"/>
      <c r="T188" s="317"/>
      <c r="U188" s="320"/>
      <c r="V188" s="321"/>
      <c r="W188" s="51" t="s">
        <v>303</v>
      </c>
      <c r="X188" s="51" t="s">
        <v>331</v>
      </c>
      <c r="Y188" s="317"/>
      <c r="Z188" s="52">
        <v>17734</v>
      </c>
      <c r="AA188" s="317"/>
    </row>
    <row r="189" spans="6:27" ht="15" thickBot="1" x14ac:dyDescent="0.35">
      <c r="F189" s="62" t="s">
        <v>269</v>
      </c>
      <c r="G189" s="62" t="s">
        <v>319</v>
      </c>
      <c r="H189" s="62"/>
      <c r="I189" s="62"/>
      <c r="T189" s="317"/>
      <c r="U189" s="321"/>
      <c r="V189" s="51" t="s">
        <v>281</v>
      </c>
      <c r="W189" s="51" t="s">
        <v>303</v>
      </c>
      <c r="X189" s="51" t="s">
        <v>329</v>
      </c>
      <c r="Y189" s="318"/>
      <c r="Z189" s="52">
        <v>35467</v>
      </c>
      <c r="AA189" s="317"/>
    </row>
    <row r="190" spans="6:27" ht="15" thickBot="1" x14ac:dyDescent="0.35">
      <c r="T190" s="317"/>
      <c r="U190" s="319" t="s">
        <v>372</v>
      </c>
      <c r="V190" s="319" t="s">
        <v>277</v>
      </c>
      <c r="W190" s="51" t="s">
        <v>303</v>
      </c>
      <c r="X190" s="51" t="s">
        <v>329</v>
      </c>
      <c r="Y190" s="316">
        <v>20</v>
      </c>
      <c r="Z190" s="52">
        <v>564724</v>
      </c>
      <c r="AA190" s="317"/>
    </row>
    <row r="191" spans="6:27" ht="15" thickBot="1" x14ac:dyDescent="0.35">
      <c r="T191" s="317"/>
      <c r="U191" s="320"/>
      <c r="V191" s="320"/>
      <c r="W191" s="51" t="s">
        <v>305</v>
      </c>
      <c r="X191" s="51" t="s">
        <v>329</v>
      </c>
      <c r="Y191" s="317"/>
      <c r="Z191" s="52">
        <v>28323618</v>
      </c>
      <c r="AA191" s="317"/>
    </row>
    <row r="192" spans="6:27" ht="15" thickBot="1" x14ac:dyDescent="0.35">
      <c r="T192" s="317"/>
      <c r="U192" s="320"/>
      <c r="V192" s="321"/>
      <c r="W192" s="51" t="s">
        <v>303</v>
      </c>
      <c r="X192" s="51" t="s">
        <v>331</v>
      </c>
      <c r="Y192" s="317"/>
      <c r="Z192" s="52">
        <v>564724</v>
      </c>
      <c r="AA192" s="317"/>
    </row>
    <row r="193" spans="20:27" ht="15" thickBot="1" x14ac:dyDescent="0.35">
      <c r="T193" s="318"/>
      <c r="U193" s="321"/>
      <c r="V193" s="51" t="s">
        <v>281</v>
      </c>
      <c r="W193" s="51" t="s">
        <v>303</v>
      </c>
      <c r="X193" s="51" t="s">
        <v>329</v>
      </c>
      <c r="Y193" s="318"/>
      <c r="Z193" s="52">
        <v>1129447</v>
      </c>
      <c r="AA193" s="318"/>
    </row>
    <row r="194" spans="20:27" ht="15" thickBot="1" x14ac:dyDescent="0.35">
      <c r="T194" s="286" t="s">
        <v>282</v>
      </c>
      <c r="U194" s="300" t="s">
        <v>370</v>
      </c>
      <c r="V194" s="300" t="s">
        <v>277</v>
      </c>
      <c r="W194" s="53" t="s">
        <v>303</v>
      </c>
      <c r="X194" s="53" t="s">
        <v>353</v>
      </c>
      <c r="Y194" s="286">
        <v>5</v>
      </c>
      <c r="Z194" s="54">
        <v>162558</v>
      </c>
      <c r="AA194" s="286" t="s">
        <v>373</v>
      </c>
    </row>
    <row r="195" spans="20:27" ht="15" thickBot="1" x14ac:dyDescent="0.35">
      <c r="T195" s="287"/>
      <c r="U195" s="315"/>
      <c r="V195" s="315"/>
      <c r="W195" s="53" t="s">
        <v>303</v>
      </c>
      <c r="X195" s="53" t="s">
        <v>351</v>
      </c>
      <c r="Y195" s="287"/>
      <c r="Z195" s="54">
        <v>2970378</v>
      </c>
      <c r="AA195" s="287"/>
    </row>
    <row r="196" spans="20:27" ht="15" thickBot="1" x14ac:dyDescent="0.35">
      <c r="T196" s="287"/>
      <c r="U196" s="315"/>
      <c r="V196" s="315"/>
      <c r="W196" s="53" t="s">
        <v>305</v>
      </c>
      <c r="X196" s="53" t="s">
        <v>331</v>
      </c>
      <c r="Y196" s="287"/>
      <c r="Z196" s="54">
        <v>88668</v>
      </c>
      <c r="AA196" s="287"/>
    </row>
    <row r="197" spans="20:27" ht="15" thickBot="1" x14ac:dyDescent="0.35">
      <c r="T197" s="287"/>
      <c r="U197" s="315"/>
      <c r="V197" s="301"/>
      <c r="W197" s="53" t="s">
        <v>305</v>
      </c>
      <c r="X197" s="53" t="s">
        <v>353</v>
      </c>
      <c r="Y197" s="287"/>
      <c r="Z197" s="54">
        <v>812790</v>
      </c>
      <c r="AA197" s="287"/>
    </row>
    <row r="198" spans="20:27" ht="15" thickBot="1" x14ac:dyDescent="0.35">
      <c r="T198" s="287"/>
      <c r="U198" s="315"/>
      <c r="V198" s="300" t="s">
        <v>281</v>
      </c>
      <c r="W198" s="53" t="s">
        <v>303</v>
      </c>
      <c r="X198" s="53" t="s">
        <v>331</v>
      </c>
      <c r="Y198" s="287"/>
      <c r="Z198" s="54">
        <v>35467</v>
      </c>
      <c r="AA198" s="287"/>
    </row>
    <row r="199" spans="20:27" ht="15" thickBot="1" x14ac:dyDescent="0.35">
      <c r="T199" s="287"/>
      <c r="U199" s="315"/>
      <c r="V199" s="301"/>
      <c r="W199" s="53" t="s">
        <v>305</v>
      </c>
      <c r="X199" s="53" t="s">
        <v>329</v>
      </c>
      <c r="Y199" s="287"/>
      <c r="Z199" s="54">
        <v>177336</v>
      </c>
      <c r="AA199" s="287"/>
    </row>
    <row r="200" spans="20:27" ht="15" thickBot="1" x14ac:dyDescent="0.35">
      <c r="T200" s="287"/>
      <c r="U200" s="301"/>
      <c r="V200" s="53" t="s">
        <v>284</v>
      </c>
      <c r="W200" s="53" t="s">
        <v>303</v>
      </c>
      <c r="X200" s="53" t="s">
        <v>329</v>
      </c>
      <c r="Y200" s="288"/>
      <c r="Z200" s="54">
        <v>177336</v>
      </c>
      <c r="AA200" s="287"/>
    </row>
    <row r="201" spans="20:27" ht="15" thickBot="1" x14ac:dyDescent="0.35">
      <c r="T201" s="287"/>
      <c r="U201" s="300" t="s">
        <v>372</v>
      </c>
      <c r="V201" s="300" t="s">
        <v>277</v>
      </c>
      <c r="W201" s="53" t="s">
        <v>303</v>
      </c>
      <c r="X201" s="53" t="s">
        <v>353</v>
      </c>
      <c r="Y201" s="286">
        <v>20</v>
      </c>
      <c r="Z201" s="54">
        <v>1882412</v>
      </c>
      <c r="AA201" s="287"/>
    </row>
    <row r="202" spans="20:27" ht="15" thickBot="1" x14ac:dyDescent="0.35">
      <c r="T202" s="287"/>
      <c r="U202" s="315"/>
      <c r="V202" s="315"/>
      <c r="W202" s="53" t="s">
        <v>303</v>
      </c>
      <c r="X202" s="53" t="s">
        <v>351</v>
      </c>
      <c r="Y202" s="287"/>
      <c r="Z202" s="54">
        <v>27429432</v>
      </c>
      <c r="AA202" s="287"/>
    </row>
    <row r="203" spans="20:27" ht="15" thickBot="1" x14ac:dyDescent="0.35">
      <c r="T203" s="287"/>
      <c r="U203" s="315"/>
      <c r="V203" s="315"/>
      <c r="W203" s="53" t="s">
        <v>305</v>
      </c>
      <c r="X203" s="53" t="s">
        <v>331</v>
      </c>
      <c r="Y203" s="287"/>
      <c r="Z203" s="54">
        <v>2823618</v>
      </c>
      <c r="AA203" s="287"/>
    </row>
    <row r="204" spans="20:27" ht="15" thickBot="1" x14ac:dyDescent="0.35">
      <c r="T204" s="287"/>
      <c r="U204" s="315"/>
      <c r="V204" s="301"/>
      <c r="W204" s="53" t="s">
        <v>305</v>
      </c>
      <c r="X204" s="53" t="s">
        <v>353</v>
      </c>
      <c r="Y204" s="287"/>
      <c r="Z204" s="54">
        <v>9412060</v>
      </c>
      <c r="AA204" s="287"/>
    </row>
    <row r="205" spans="20:27" ht="15" thickBot="1" x14ac:dyDescent="0.35">
      <c r="T205" s="287"/>
      <c r="U205" s="315"/>
      <c r="V205" s="300" t="s">
        <v>281</v>
      </c>
      <c r="W205" s="53" t="s">
        <v>303</v>
      </c>
      <c r="X205" s="53" t="s">
        <v>331</v>
      </c>
      <c r="Y205" s="287"/>
      <c r="Z205" s="54">
        <v>1129477</v>
      </c>
      <c r="AA205" s="287"/>
    </row>
    <row r="206" spans="20:27" ht="15" thickBot="1" x14ac:dyDescent="0.35">
      <c r="T206" s="287"/>
      <c r="U206" s="315"/>
      <c r="V206" s="301"/>
      <c r="W206" s="53" t="s">
        <v>305</v>
      </c>
      <c r="X206" s="53" t="s">
        <v>329</v>
      </c>
      <c r="Y206" s="287"/>
      <c r="Z206" s="54">
        <v>5647236</v>
      </c>
      <c r="AA206" s="287"/>
    </row>
    <row r="207" spans="20:27" ht="15" thickBot="1" x14ac:dyDescent="0.35">
      <c r="T207" s="288"/>
      <c r="U207" s="301"/>
      <c r="V207" s="53" t="s">
        <v>284</v>
      </c>
      <c r="W207" s="53" t="s">
        <v>303</v>
      </c>
      <c r="X207" s="53" t="s">
        <v>329</v>
      </c>
      <c r="Y207" s="288"/>
      <c r="Z207" s="54">
        <v>5647236</v>
      </c>
      <c r="AA207" s="288"/>
    </row>
    <row r="208" spans="20:27" ht="15" thickBot="1" x14ac:dyDescent="0.35">
      <c r="T208" s="289" t="s">
        <v>285</v>
      </c>
      <c r="U208" s="295" t="s">
        <v>370</v>
      </c>
      <c r="V208" s="55" t="s">
        <v>277</v>
      </c>
      <c r="W208" s="55" t="s">
        <v>305</v>
      </c>
      <c r="X208" s="55" t="s">
        <v>351</v>
      </c>
      <c r="Y208" s="289">
        <v>5</v>
      </c>
      <c r="Z208" s="56">
        <v>14851890</v>
      </c>
      <c r="AA208" s="289" t="s">
        <v>374</v>
      </c>
    </row>
    <row r="209" spans="20:27" ht="15" thickBot="1" x14ac:dyDescent="0.35">
      <c r="T209" s="290"/>
      <c r="U209" s="314"/>
      <c r="V209" s="295" t="s">
        <v>281</v>
      </c>
      <c r="W209" s="55" t="s">
        <v>303</v>
      </c>
      <c r="X209" s="55" t="s">
        <v>353</v>
      </c>
      <c r="Y209" s="290"/>
      <c r="Z209" s="56">
        <v>325116</v>
      </c>
      <c r="AA209" s="290"/>
    </row>
    <row r="210" spans="20:27" ht="15" thickBot="1" x14ac:dyDescent="0.35">
      <c r="T210" s="290"/>
      <c r="U210" s="314"/>
      <c r="V210" s="314"/>
      <c r="W210" s="55" t="s">
        <v>303</v>
      </c>
      <c r="X210" s="55" t="s">
        <v>351</v>
      </c>
      <c r="Y210" s="290"/>
      <c r="Z210" s="56">
        <v>5940756</v>
      </c>
      <c r="AA210" s="290"/>
    </row>
    <row r="211" spans="20:27" ht="15" thickBot="1" x14ac:dyDescent="0.35">
      <c r="T211" s="290"/>
      <c r="U211" s="314"/>
      <c r="V211" s="314"/>
      <c r="W211" s="55" t="s">
        <v>305</v>
      </c>
      <c r="X211" s="55" t="s">
        <v>331</v>
      </c>
      <c r="Y211" s="290"/>
      <c r="Z211" s="56">
        <v>177336</v>
      </c>
      <c r="AA211" s="290"/>
    </row>
    <row r="212" spans="20:27" ht="15" thickBot="1" x14ac:dyDescent="0.35">
      <c r="T212" s="290"/>
      <c r="U212" s="314"/>
      <c r="V212" s="296"/>
      <c r="W212" s="55" t="s">
        <v>305</v>
      </c>
      <c r="X212" s="55" t="s">
        <v>353</v>
      </c>
      <c r="Y212" s="290"/>
      <c r="Z212" s="56">
        <v>1625580</v>
      </c>
      <c r="AA212" s="290"/>
    </row>
    <row r="213" spans="20:27" ht="15" thickBot="1" x14ac:dyDescent="0.35">
      <c r="T213" s="290"/>
      <c r="U213" s="314"/>
      <c r="V213" s="295" t="s">
        <v>284</v>
      </c>
      <c r="W213" s="55" t="s">
        <v>303</v>
      </c>
      <c r="X213" s="55" t="s">
        <v>331</v>
      </c>
      <c r="Y213" s="290"/>
      <c r="Z213" s="56">
        <v>177336</v>
      </c>
      <c r="AA213" s="290"/>
    </row>
    <row r="214" spans="20:27" ht="15" thickBot="1" x14ac:dyDescent="0.35">
      <c r="T214" s="290"/>
      <c r="U214" s="314"/>
      <c r="V214" s="314"/>
      <c r="W214" s="55" t="s">
        <v>303</v>
      </c>
      <c r="X214" s="55" t="s">
        <v>353</v>
      </c>
      <c r="Y214" s="290"/>
      <c r="Z214" s="56">
        <v>1625580</v>
      </c>
      <c r="AA214" s="290"/>
    </row>
    <row r="215" spans="20:27" ht="15" thickBot="1" x14ac:dyDescent="0.35">
      <c r="T215" s="290"/>
      <c r="U215" s="314"/>
      <c r="V215" s="314"/>
      <c r="W215" s="55" t="s">
        <v>305</v>
      </c>
      <c r="X215" s="55" t="s">
        <v>329</v>
      </c>
      <c r="Y215" s="290"/>
      <c r="Z215" s="56">
        <v>886680</v>
      </c>
      <c r="AA215" s="290"/>
    </row>
    <row r="216" spans="20:27" ht="15" thickBot="1" x14ac:dyDescent="0.35">
      <c r="T216" s="290"/>
      <c r="U216" s="296"/>
      <c r="V216" s="296"/>
      <c r="W216" s="55" t="s">
        <v>305</v>
      </c>
      <c r="X216" s="55" t="s">
        <v>331</v>
      </c>
      <c r="Y216" s="291"/>
      <c r="Z216" s="56">
        <v>886680</v>
      </c>
      <c r="AA216" s="290"/>
    </row>
    <row r="217" spans="20:27" ht="15" thickBot="1" x14ac:dyDescent="0.35">
      <c r="T217" s="290"/>
      <c r="U217" s="295" t="s">
        <v>372</v>
      </c>
      <c r="V217" s="55" t="s">
        <v>277</v>
      </c>
      <c r="W217" s="55" t="s">
        <v>305</v>
      </c>
      <c r="X217" s="55" t="s">
        <v>351</v>
      </c>
      <c r="Y217" s="289">
        <v>20</v>
      </c>
      <c r="Z217" s="56">
        <v>137147160</v>
      </c>
      <c r="AA217" s="290"/>
    </row>
    <row r="218" spans="20:27" ht="15" thickBot="1" x14ac:dyDescent="0.35">
      <c r="T218" s="290"/>
      <c r="U218" s="314"/>
      <c r="V218" s="295" t="s">
        <v>281</v>
      </c>
      <c r="W218" s="55" t="s">
        <v>303</v>
      </c>
      <c r="X218" s="55" t="s">
        <v>353</v>
      </c>
      <c r="Y218" s="290"/>
      <c r="Z218" s="56">
        <v>3764824</v>
      </c>
      <c r="AA218" s="290"/>
    </row>
    <row r="219" spans="20:27" ht="15" thickBot="1" x14ac:dyDescent="0.35">
      <c r="T219" s="290"/>
      <c r="U219" s="314"/>
      <c r="V219" s="314"/>
      <c r="W219" s="55" t="s">
        <v>303</v>
      </c>
      <c r="X219" s="55" t="s">
        <v>351</v>
      </c>
      <c r="Y219" s="290"/>
      <c r="Z219" s="56">
        <v>54858864</v>
      </c>
      <c r="AA219" s="290"/>
    </row>
    <row r="220" spans="20:27" ht="15" thickBot="1" x14ac:dyDescent="0.35">
      <c r="T220" s="290"/>
      <c r="U220" s="314"/>
      <c r="V220" s="314"/>
      <c r="W220" s="55" t="s">
        <v>305</v>
      </c>
      <c r="X220" s="55" t="s">
        <v>331</v>
      </c>
      <c r="Y220" s="290"/>
      <c r="Z220" s="56">
        <v>5647236</v>
      </c>
      <c r="AA220" s="290"/>
    </row>
    <row r="221" spans="20:27" ht="15" thickBot="1" x14ac:dyDescent="0.35">
      <c r="T221" s="290"/>
      <c r="U221" s="314"/>
      <c r="V221" s="296"/>
      <c r="W221" s="55" t="s">
        <v>305</v>
      </c>
      <c r="X221" s="55" t="s">
        <v>353</v>
      </c>
      <c r="Y221" s="290"/>
      <c r="Z221" s="56">
        <v>18824120</v>
      </c>
      <c r="AA221" s="290"/>
    </row>
    <row r="222" spans="20:27" ht="15" thickBot="1" x14ac:dyDescent="0.35">
      <c r="T222" s="290"/>
      <c r="U222" s="314"/>
      <c r="V222" s="295" t="s">
        <v>284</v>
      </c>
      <c r="W222" s="55" t="s">
        <v>303</v>
      </c>
      <c r="X222" s="55" t="s">
        <v>331</v>
      </c>
      <c r="Y222" s="290"/>
      <c r="Z222" s="56">
        <v>5647236</v>
      </c>
      <c r="AA222" s="290"/>
    </row>
    <row r="223" spans="20:27" ht="15" thickBot="1" x14ac:dyDescent="0.35">
      <c r="T223" s="290"/>
      <c r="U223" s="314"/>
      <c r="V223" s="314"/>
      <c r="W223" s="55" t="s">
        <v>303</v>
      </c>
      <c r="X223" s="55" t="s">
        <v>353</v>
      </c>
      <c r="Y223" s="290"/>
      <c r="Z223" s="56">
        <v>18824120</v>
      </c>
      <c r="AA223" s="290"/>
    </row>
    <row r="224" spans="20:27" ht="15" thickBot="1" x14ac:dyDescent="0.35">
      <c r="T224" s="290"/>
      <c r="U224" s="314"/>
      <c r="V224" s="314"/>
      <c r="W224" s="55" t="s">
        <v>305</v>
      </c>
      <c r="X224" s="55" t="s">
        <v>329</v>
      </c>
      <c r="Y224" s="290"/>
      <c r="Z224" s="56">
        <v>28236180</v>
      </c>
      <c r="AA224" s="290"/>
    </row>
    <row r="225" spans="9:27" ht="15" thickBot="1" x14ac:dyDescent="0.35">
      <c r="T225" s="291"/>
      <c r="U225" s="296"/>
      <c r="V225" s="296"/>
      <c r="W225" s="55" t="s">
        <v>305</v>
      </c>
      <c r="X225" s="55" t="s">
        <v>331</v>
      </c>
      <c r="Y225" s="291"/>
      <c r="Z225" s="56">
        <v>28236180</v>
      </c>
      <c r="AA225" s="291"/>
    </row>
    <row r="226" spans="9:27" ht="15" thickBot="1" x14ac:dyDescent="0.35">
      <c r="T226" s="308" t="s">
        <v>287</v>
      </c>
      <c r="U226" s="311" t="s">
        <v>370</v>
      </c>
      <c r="V226" s="57" t="s">
        <v>281</v>
      </c>
      <c r="W226" s="57" t="s">
        <v>305</v>
      </c>
      <c r="X226" s="57" t="s">
        <v>351</v>
      </c>
      <c r="Y226" s="308">
        <v>5</v>
      </c>
      <c r="Z226" s="58">
        <v>29703780</v>
      </c>
      <c r="AA226" s="308" t="s">
        <v>375</v>
      </c>
    </row>
    <row r="227" spans="9:27" ht="15" thickBot="1" x14ac:dyDescent="0.35">
      <c r="T227" s="309"/>
      <c r="U227" s="312"/>
      <c r="V227" s="311" t="s">
        <v>284</v>
      </c>
      <c r="W227" s="57" t="s">
        <v>303</v>
      </c>
      <c r="X227" s="57" t="s">
        <v>351</v>
      </c>
      <c r="Y227" s="309"/>
      <c r="Z227" s="58">
        <v>29703780</v>
      </c>
      <c r="AA227" s="309"/>
    </row>
    <row r="228" spans="9:27" ht="15" thickBot="1" x14ac:dyDescent="0.35">
      <c r="T228" s="309"/>
      <c r="U228" s="312"/>
      <c r="V228" s="312"/>
      <c r="W228" s="57" t="s">
        <v>305</v>
      </c>
      <c r="X228" s="57" t="s">
        <v>353</v>
      </c>
      <c r="Y228" s="309"/>
      <c r="Z228" s="58">
        <v>8127900</v>
      </c>
      <c r="AA228" s="309"/>
    </row>
    <row r="229" spans="9:27" ht="15" thickBot="1" x14ac:dyDescent="0.35">
      <c r="T229" s="309"/>
      <c r="U229" s="313"/>
      <c r="V229" s="313"/>
      <c r="W229" s="57" t="s">
        <v>305</v>
      </c>
      <c r="X229" s="57" t="s">
        <v>351</v>
      </c>
      <c r="Y229" s="310"/>
      <c r="Z229" s="58">
        <v>148518900</v>
      </c>
      <c r="AA229" s="309"/>
    </row>
    <row r="230" spans="9:27" ht="15" thickBot="1" x14ac:dyDescent="0.35">
      <c r="T230" s="309"/>
      <c r="U230" s="311" t="s">
        <v>372</v>
      </c>
      <c r="V230" s="57" t="s">
        <v>281</v>
      </c>
      <c r="W230" s="57" t="s">
        <v>305</v>
      </c>
      <c r="X230" s="57" t="s">
        <v>351</v>
      </c>
      <c r="Y230" s="308">
        <v>20</v>
      </c>
      <c r="Z230" s="58">
        <v>274294320</v>
      </c>
      <c r="AA230" s="309"/>
    </row>
    <row r="231" spans="9:27" ht="15" thickBot="1" x14ac:dyDescent="0.35">
      <c r="T231" s="309"/>
      <c r="U231" s="312"/>
      <c r="V231" s="311" t="s">
        <v>284</v>
      </c>
      <c r="W231" s="57" t="s">
        <v>303</v>
      </c>
      <c r="X231" s="57" t="s">
        <v>351</v>
      </c>
      <c r="Y231" s="309"/>
      <c r="Z231" s="58">
        <v>274294320</v>
      </c>
      <c r="AA231" s="309"/>
    </row>
    <row r="232" spans="9:27" ht="15" thickBot="1" x14ac:dyDescent="0.35">
      <c r="T232" s="309"/>
      <c r="U232" s="312"/>
      <c r="V232" s="312"/>
      <c r="W232" s="57" t="s">
        <v>305</v>
      </c>
      <c r="X232" s="57" t="s">
        <v>353</v>
      </c>
      <c r="Y232" s="309"/>
      <c r="Z232" s="58">
        <v>94120600</v>
      </c>
      <c r="AA232" s="309"/>
    </row>
    <row r="233" spans="9:27" ht="15" thickBot="1" x14ac:dyDescent="0.35">
      <c r="T233" s="310"/>
      <c r="U233" s="313"/>
      <c r="V233" s="313"/>
      <c r="W233" s="57" t="s">
        <v>305</v>
      </c>
      <c r="X233" s="57" t="s">
        <v>351</v>
      </c>
      <c r="Y233" s="310"/>
      <c r="Z233" s="58">
        <v>1371471600</v>
      </c>
      <c r="AA233" s="310"/>
    </row>
    <row r="235" spans="9:27" ht="15" thickBot="1" x14ac:dyDescent="0.35">
      <c r="I235" s="61" t="s">
        <v>377</v>
      </c>
    </row>
    <row r="236" spans="9:27" ht="24" customHeight="1" x14ac:dyDescent="0.3">
      <c r="Q236" t="s">
        <v>396</v>
      </c>
      <c r="T236" s="277" t="s">
        <v>1035</v>
      </c>
      <c r="U236" s="49" t="s">
        <v>383</v>
      </c>
      <c r="V236" s="277" t="s">
        <v>272</v>
      </c>
      <c r="W236" s="277" t="s">
        <v>385</v>
      </c>
      <c r="X236" s="49" t="s">
        <v>273</v>
      </c>
      <c r="Y236" s="49" t="s">
        <v>386</v>
      </c>
    </row>
    <row r="237" spans="9:27" ht="15" thickBot="1" x14ac:dyDescent="0.35">
      <c r="I237" s="62" t="s">
        <v>262</v>
      </c>
      <c r="T237" s="279"/>
      <c r="U237" s="50" t="s">
        <v>384</v>
      </c>
      <c r="V237" s="279"/>
      <c r="W237" s="279"/>
      <c r="X237" s="50" t="s">
        <v>274</v>
      </c>
      <c r="Y237" s="50" t="s">
        <v>274</v>
      </c>
    </row>
    <row r="238" spans="9:27" ht="15" thickBot="1" x14ac:dyDescent="0.35">
      <c r="I238" s="62" t="s">
        <v>378</v>
      </c>
      <c r="J238" s="62" t="s">
        <v>379</v>
      </c>
      <c r="K238" s="62"/>
      <c r="L238" s="62"/>
      <c r="T238" s="60" t="s">
        <v>276</v>
      </c>
      <c r="U238" s="52">
        <v>500</v>
      </c>
      <c r="V238" s="51" t="s">
        <v>387</v>
      </c>
      <c r="W238" s="51" t="s">
        <v>329</v>
      </c>
      <c r="X238" s="52">
        <v>5000</v>
      </c>
      <c r="Y238" s="64" t="s">
        <v>388</v>
      </c>
    </row>
    <row r="239" spans="9:27" ht="15" thickBot="1" x14ac:dyDescent="0.35">
      <c r="I239" s="62" t="s">
        <v>380</v>
      </c>
      <c r="J239" s="62" t="s">
        <v>381</v>
      </c>
      <c r="K239" s="62"/>
      <c r="L239" s="62"/>
      <c r="T239" s="286" t="s">
        <v>282</v>
      </c>
      <c r="U239" s="305">
        <v>500</v>
      </c>
      <c r="V239" s="300" t="s">
        <v>387</v>
      </c>
      <c r="W239" s="53" t="s">
        <v>389</v>
      </c>
      <c r="X239" s="54">
        <v>70000</v>
      </c>
      <c r="Y239" s="286" t="s">
        <v>390</v>
      </c>
    </row>
    <row r="240" spans="9:27" ht="15.6" thickBot="1" x14ac:dyDescent="0.35">
      <c r="I240" s="62" t="s">
        <v>320</v>
      </c>
      <c r="J240" s="62" t="s">
        <v>382</v>
      </c>
      <c r="K240" s="62"/>
      <c r="T240" s="287"/>
      <c r="U240" s="306"/>
      <c r="V240" s="301"/>
      <c r="W240" s="53" t="s">
        <v>391</v>
      </c>
      <c r="X240" s="54">
        <v>300000</v>
      </c>
      <c r="Y240" s="287"/>
    </row>
    <row r="241" spans="9:25" ht="15" thickBot="1" x14ac:dyDescent="0.35">
      <c r="I241" s="62" t="s">
        <v>269</v>
      </c>
      <c r="J241" s="62" t="s">
        <v>319</v>
      </c>
      <c r="K241" s="62"/>
      <c r="L241" s="62"/>
      <c r="T241" s="288"/>
      <c r="U241" s="307"/>
      <c r="V241" s="53" t="s">
        <v>392</v>
      </c>
      <c r="W241" s="53" t="s">
        <v>329</v>
      </c>
      <c r="X241" s="54">
        <v>50000</v>
      </c>
      <c r="Y241" s="288"/>
    </row>
    <row r="242" spans="9:25" ht="15" thickBot="1" x14ac:dyDescent="0.35">
      <c r="T242" s="289" t="s">
        <v>285</v>
      </c>
      <c r="U242" s="302">
        <v>500</v>
      </c>
      <c r="V242" s="295" t="s">
        <v>392</v>
      </c>
      <c r="W242" s="55" t="s">
        <v>389</v>
      </c>
      <c r="X242" s="56">
        <v>700000</v>
      </c>
      <c r="Y242" s="289" t="s">
        <v>393</v>
      </c>
    </row>
    <row r="243" spans="9:25" ht="15" thickBot="1" x14ac:dyDescent="0.35">
      <c r="T243" s="290"/>
      <c r="U243" s="303"/>
      <c r="V243" s="296"/>
      <c r="W243" s="55" t="s">
        <v>391</v>
      </c>
      <c r="X243" s="56">
        <v>3000000</v>
      </c>
      <c r="Y243" s="290"/>
    </row>
    <row r="244" spans="9:25" ht="15" thickBot="1" x14ac:dyDescent="0.35">
      <c r="T244" s="290"/>
      <c r="U244" s="303"/>
      <c r="V244" s="295" t="s">
        <v>394</v>
      </c>
      <c r="W244" s="55" t="s">
        <v>329</v>
      </c>
      <c r="X244" s="56">
        <v>100000</v>
      </c>
      <c r="Y244" s="290"/>
    </row>
    <row r="245" spans="9:25" ht="15" thickBot="1" x14ac:dyDescent="0.35">
      <c r="T245" s="291"/>
      <c r="U245" s="304"/>
      <c r="V245" s="296"/>
      <c r="W245" s="55" t="s">
        <v>389</v>
      </c>
      <c r="X245" s="56">
        <v>1400000</v>
      </c>
      <c r="Y245" s="291"/>
    </row>
    <row r="246" spans="9:25" ht="15" thickBot="1" x14ac:dyDescent="0.35">
      <c r="T246" s="59" t="s">
        <v>287</v>
      </c>
      <c r="U246" s="58">
        <v>500</v>
      </c>
      <c r="V246" s="57" t="s">
        <v>394</v>
      </c>
      <c r="W246" s="57" t="s">
        <v>391</v>
      </c>
      <c r="X246" s="58">
        <v>6000000</v>
      </c>
      <c r="Y246" s="65" t="s">
        <v>395</v>
      </c>
    </row>
    <row r="248" spans="9:25" ht="15" thickBot="1" x14ac:dyDescent="0.35">
      <c r="I248" s="61" t="s">
        <v>397</v>
      </c>
    </row>
    <row r="249" spans="9:25" ht="20.25" customHeight="1" x14ac:dyDescent="0.3">
      <c r="Q249" t="s">
        <v>404</v>
      </c>
      <c r="T249" s="277" t="s">
        <v>1035</v>
      </c>
      <c r="U249" s="49" t="s">
        <v>405</v>
      </c>
      <c r="V249" s="277" t="s">
        <v>403</v>
      </c>
      <c r="W249" s="277" t="s">
        <v>407</v>
      </c>
      <c r="X249" s="49" t="s">
        <v>273</v>
      </c>
      <c r="Y249" s="49" t="s">
        <v>408</v>
      </c>
    </row>
    <row r="250" spans="9:25" ht="15" thickBot="1" x14ac:dyDescent="0.35">
      <c r="I250" s="62" t="s">
        <v>262</v>
      </c>
      <c r="T250" s="279"/>
      <c r="U250" s="50" t="s">
        <v>406</v>
      </c>
      <c r="V250" s="279"/>
      <c r="W250" s="279"/>
      <c r="X250" s="50" t="s">
        <v>274</v>
      </c>
      <c r="Y250" s="50" t="s">
        <v>274</v>
      </c>
    </row>
    <row r="251" spans="9:25" ht="15" thickBot="1" x14ac:dyDescent="0.35">
      <c r="I251" s="62" t="s">
        <v>398</v>
      </c>
      <c r="J251" s="62" t="s">
        <v>399</v>
      </c>
      <c r="K251" s="62"/>
      <c r="L251" s="62"/>
      <c r="T251" s="60" t="s">
        <v>276</v>
      </c>
      <c r="U251" s="67">
        <v>12500</v>
      </c>
      <c r="V251" s="51" t="s">
        <v>409</v>
      </c>
      <c r="W251" s="51" t="s">
        <v>410</v>
      </c>
      <c r="X251" s="52">
        <v>1199</v>
      </c>
      <c r="Y251" s="64" t="s">
        <v>411</v>
      </c>
    </row>
    <row r="252" spans="9:25" ht="15" thickBot="1" x14ac:dyDescent="0.35">
      <c r="I252" s="62" t="s">
        <v>400</v>
      </c>
      <c r="J252" s="62" t="s">
        <v>401</v>
      </c>
      <c r="K252" s="62"/>
      <c r="L252" s="62"/>
      <c r="T252" s="286" t="s">
        <v>282</v>
      </c>
      <c r="U252" s="297">
        <v>50000</v>
      </c>
      <c r="V252" s="300" t="s">
        <v>409</v>
      </c>
      <c r="W252" s="53" t="s">
        <v>412</v>
      </c>
      <c r="X252" s="54">
        <v>20548</v>
      </c>
      <c r="Y252" s="286" t="s">
        <v>413</v>
      </c>
    </row>
    <row r="253" spans="9:25" ht="15" thickBot="1" x14ac:dyDescent="0.35">
      <c r="I253" s="62" t="s">
        <v>402</v>
      </c>
      <c r="J253" s="62" t="s">
        <v>403</v>
      </c>
      <c r="K253" s="62"/>
      <c r="L253" s="62"/>
      <c r="T253" s="287"/>
      <c r="U253" s="298"/>
      <c r="V253" s="301"/>
      <c r="W253" s="53" t="s">
        <v>353</v>
      </c>
      <c r="X253" s="54">
        <v>6250000</v>
      </c>
      <c r="Y253" s="287"/>
    </row>
    <row r="254" spans="9:25" ht="15.6" thickBot="1" x14ac:dyDescent="0.35">
      <c r="I254" s="62" t="s">
        <v>320</v>
      </c>
      <c r="J254" s="62" t="s">
        <v>321</v>
      </c>
      <c r="K254" s="62"/>
      <c r="T254" s="288"/>
      <c r="U254" s="299"/>
      <c r="V254" s="53" t="s">
        <v>414</v>
      </c>
      <c r="W254" s="53" t="s">
        <v>410</v>
      </c>
      <c r="X254" s="54">
        <v>28767</v>
      </c>
      <c r="Y254" s="288"/>
    </row>
    <row r="255" spans="9:25" ht="15" thickBot="1" x14ac:dyDescent="0.35">
      <c r="T255" s="289" t="s">
        <v>285</v>
      </c>
      <c r="U255" s="292">
        <v>200000</v>
      </c>
      <c r="V255" s="295" t="s">
        <v>414</v>
      </c>
      <c r="W255" s="55" t="s">
        <v>412</v>
      </c>
      <c r="X255" s="56">
        <v>493151</v>
      </c>
      <c r="Y255" s="289" t="s">
        <v>415</v>
      </c>
    </row>
    <row r="256" spans="9:25" ht="15" thickBot="1" x14ac:dyDescent="0.35">
      <c r="T256" s="290"/>
      <c r="U256" s="293"/>
      <c r="V256" s="296"/>
      <c r="W256" s="55" t="s">
        <v>353</v>
      </c>
      <c r="X256" s="56">
        <v>150000000</v>
      </c>
      <c r="Y256" s="290"/>
    </row>
    <row r="257" spans="1:25" ht="15" thickBot="1" x14ac:dyDescent="0.35">
      <c r="T257" s="290"/>
      <c r="U257" s="293"/>
      <c r="V257" s="295" t="s">
        <v>416</v>
      </c>
      <c r="W257" s="55" t="s">
        <v>410</v>
      </c>
      <c r="X257" s="56">
        <v>230137</v>
      </c>
      <c r="Y257" s="290"/>
    </row>
    <row r="258" spans="1:25" ht="15" thickBot="1" x14ac:dyDescent="0.35">
      <c r="A258" t="s">
        <v>727</v>
      </c>
      <c r="T258" s="291"/>
      <c r="U258" s="294"/>
      <c r="V258" s="296"/>
      <c r="W258" s="55" t="s">
        <v>412</v>
      </c>
      <c r="X258" s="56">
        <v>986301</v>
      </c>
      <c r="Y258" s="291"/>
    </row>
    <row r="259" spans="1:25" ht="15" thickBot="1" x14ac:dyDescent="0.35">
      <c r="T259" s="59" t="s">
        <v>287</v>
      </c>
      <c r="U259" s="68">
        <v>600000</v>
      </c>
      <c r="V259" s="57" t="s">
        <v>416</v>
      </c>
      <c r="W259" s="57" t="s">
        <v>353</v>
      </c>
      <c r="X259" s="58">
        <v>900000000</v>
      </c>
      <c r="Y259" s="65" t="s">
        <v>417</v>
      </c>
    </row>
    <row r="260" spans="1:25" ht="15" thickBot="1" x14ac:dyDescent="0.35">
      <c r="A260" s="277" t="s">
        <v>418</v>
      </c>
      <c r="B260" s="275" t="s">
        <v>419</v>
      </c>
      <c r="C260" s="280"/>
      <c r="D260" s="280"/>
      <c r="E260" s="280"/>
      <c r="F260" s="280"/>
      <c r="G260" s="280"/>
      <c r="H260" s="280"/>
      <c r="I260" s="280"/>
      <c r="J260" s="280"/>
      <c r="K260" s="280"/>
      <c r="L260" s="276"/>
    </row>
    <row r="261" spans="1:25" ht="15" thickBot="1" x14ac:dyDescent="0.35">
      <c r="A261" s="278"/>
      <c r="B261" s="281" t="s">
        <v>9</v>
      </c>
      <c r="C261" s="282"/>
      <c r="D261" s="283" t="s">
        <v>7</v>
      </c>
      <c r="E261" s="284"/>
      <c r="F261" s="285"/>
      <c r="G261" s="269" t="s">
        <v>251</v>
      </c>
      <c r="H261" s="270"/>
      <c r="I261" s="271"/>
      <c r="J261" s="272" t="s">
        <v>5</v>
      </c>
      <c r="K261" s="273"/>
      <c r="L261" s="274"/>
    </row>
    <row r="262" spans="1:25" ht="15" thickBot="1" x14ac:dyDescent="0.35">
      <c r="A262" s="279"/>
      <c r="B262" s="50" t="s">
        <v>420</v>
      </c>
      <c r="C262" s="50" t="s">
        <v>421</v>
      </c>
      <c r="D262" s="275" t="s">
        <v>420</v>
      </c>
      <c r="E262" s="276"/>
      <c r="F262" s="50" t="s">
        <v>421</v>
      </c>
      <c r="G262" s="275" t="s">
        <v>420</v>
      </c>
      <c r="H262" s="276"/>
      <c r="I262" s="50" t="s">
        <v>421</v>
      </c>
      <c r="J262" s="50" t="s">
        <v>420</v>
      </c>
      <c r="K262" s="275" t="s">
        <v>421</v>
      </c>
      <c r="L262" s="276"/>
    </row>
    <row r="263" spans="1:25" ht="15" thickBot="1" x14ac:dyDescent="0.35">
      <c r="A263" s="260" t="s">
        <v>142</v>
      </c>
      <c r="B263" s="261"/>
      <c r="C263" s="261"/>
      <c r="D263" s="261"/>
      <c r="E263" s="261"/>
      <c r="F263" s="261"/>
      <c r="G263" s="261"/>
      <c r="H263" s="261"/>
      <c r="I263" s="261"/>
      <c r="J263" s="261"/>
      <c r="K263" s="261"/>
      <c r="L263" s="262"/>
    </row>
    <row r="264" spans="1:25" ht="15" thickBot="1" x14ac:dyDescent="0.35">
      <c r="A264" s="69" t="s">
        <v>143</v>
      </c>
      <c r="B264" s="15" t="s">
        <v>279</v>
      </c>
      <c r="C264" s="70">
        <v>117000</v>
      </c>
      <c r="D264" s="263" t="s">
        <v>422</v>
      </c>
      <c r="E264" s="264"/>
      <c r="F264" s="70">
        <v>266000</v>
      </c>
      <c r="G264" s="263" t="s">
        <v>423</v>
      </c>
      <c r="H264" s="264"/>
      <c r="I264" s="71" t="s">
        <v>424</v>
      </c>
      <c r="J264" s="15" t="s">
        <v>425</v>
      </c>
      <c r="K264" s="265" t="s">
        <v>426</v>
      </c>
      <c r="L264" s="266"/>
    </row>
    <row r="265" spans="1:25" ht="15" thickBot="1" x14ac:dyDescent="0.35">
      <c r="A265" s="69" t="s">
        <v>495</v>
      </c>
      <c r="B265" s="15" t="s">
        <v>304</v>
      </c>
      <c r="C265" s="70">
        <v>440000</v>
      </c>
      <c r="D265" s="263" t="s">
        <v>427</v>
      </c>
      <c r="E265" s="264"/>
      <c r="F265" s="71" t="s">
        <v>428</v>
      </c>
      <c r="G265" s="263" t="s">
        <v>309</v>
      </c>
      <c r="H265" s="264"/>
      <c r="I265" s="71" t="s">
        <v>429</v>
      </c>
      <c r="J265" s="15" t="s">
        <v>430</v>
      </c>
      <c r="K265" s="265" t="s">
        <v>431</v>
      </c>
      <c r="L265" s="266"/>
    </row>
    <row r="266" spans="1:25" ht="15" thickBot="1" x14ac:dyDescent="0.35">
      <c r="A266" s="260" t="s">
        <v>123</v>
      </c>
      <c r="B266" s="261"/>
      <c r="C266" s="261"/>
      <c r="D266" s="261"/>
      <c r="E266" s="261"/>
      <c r="F266" s="261"/>
      <c r="G266" s="261"/>
      <c r="H266" s="261"/>
      <c r="I266" s="261"/>
      <c r="J266" s="261"/>
      <c r="K266" s="261"/>
      <c r="L266" s="262"/>
    </row>
    <row r="267" spans="1:25" ht="15" thickBot="1" x14ac:dyDescent="0.35">
      <c r="A267" s="69" t="s">
        <v>432</v>
      </c>
      <c r="B267" s="15" t="s">
        <v>433</v>
      </c>
      <c r="C267" s="70">
        <v>670</v>
      </c>
      <c r="D267" s="263" t="s">
        <v>434</v>
      </c>
      <c r="E267" s="264"/>
      <c r="F267" s="70">
        <v>6700</v>
      </c>
      <c r="G267" s="263" t="s">
        <v>335</v>
      </c>
      <c r="H267" s="264"/>
      <c r="I267" s="70">
        <v>31000</v>
      </c>
      <c r="J267" s="15" t="s">
        <v>435</v>
      </c>
      <c r="K267" s="267">
        <v>542000</v>
      </c>
      <c r="L267" s="268"/>
    </row>
    <row r="268" spans="1:25" ht="24.6" thickBot="1" x14ac:dyDescent="0.35">
      <c r="A268" s="69" t="s">
        <v>436</v>
      </c>
      <c r="B268" s="15" t="s">
        <v>348</v>
      </c>
      <c r="C268" s="70">
        <v>110000</v>
      </c>
      <c r="D268" s="263" t="s">
        <v>350</v>
      </c>
      <c r="E268" s="264"/>
      <c r="F268" s="71" t="s">
        <v>354</v>
      </c>
      <c r="G268" s="263" t="s">
        <v>437</v>
      </c>
      <c r="H268" s="264"/>
      <c r="I268" s="71" t="s">
        <v>438</v>
      </c>
      <c r="J268" s="15" t="s">
        <v>357</v>
      </c>
      <c r="K268" s="265" t="s">
        <v>439</v>
      </c>
      <c r="L268" s="266"/>
    </row>
    <row r="269" spans="1:25" ht="15" thickBot="1" x14ac:dyDescent="0.35">
      <c r="A269" s="69" t="s">
        <v>496</v>
      </c>
      <c r="B269" s="15" t="s">
        <v>304</v>
      </c>
      <c r="C269" s="70">
        <v>440000</v>
      </c>
      <c r="D269" s="263" t="s">
        <v>427</v>
      </c>
      <c r="E269" s="264"/>
      <c r="F269" s="71" t="s">
        <v>428</v>
      </c>
      <c r="G269" s="263" t="s">
        <v>309</v>
      </c>
      <c r="H269" s="264"/>
      <c r="I269" s="71" t="s">
        <v>429</v>
      </c>
      <c r="J269" s="15" t="s">
        <v>430</v>
      </c>
      <c r="K269" s="265" t="s">
        <v>431</v>
      </c>
      <c r="L269" s="266"/>
    </row>
    <row r="270" spans="1:25" ht="15" thickBot="1" x14ac:dyDescent="0.35">
      <c r="A270" s="260" t="s">
        <v>182</v>
      </c>
      <c r="B270" s="261"/>
      <c r="C270" s="261"/>
      <c r="D270" s="261"/>
      <c r="E270" s="261"/>
      <c r="F270" s="261"/>
      <c r="G270" s="261"/>
      <c r="H270" s="261"/>
      <c r="I270" s="261"/>
      <c r="J270" s="261"/>
      <c r="K270" s="261"/>
      <c r="L270" s="262"/>
    </row>
    <row r="271" spans="1:25" ht="15" thickBot="1" x14ac:dyDescent="0.35">
      <c r="A271" s="69" t="s">
        <v>440</v>
      </c>
      <c r="B271" s="15" t="s">
        <v>441</v>
      </c>
      <c r="C271" s="70">
        <v>655000</v>
      </c>
      <c r="D271" s="263" t="s">
        <v>373</v>
      </c>
      <c r="E271" s="264"/>
      <c r="F271" s="71" t="s">
        <v>442</v>
      </c>
      <c r="G271" s="263" t="s">
        <v>443</v>
      </c>
      <c r="H271" s="264"/>
      <c r="I271" s="71" t="s">
        <v>444</v>
      </c>
      <c r="J271" s="15" t="s">
        <v>375</v>
      </c>
      <c r="K271" s="265" t="s">
        <v>445</v>
      </c>
      <c r="L271" s="266"/>
    </row>
    <row r="272" spans="1:25" ht="15" thickBot="1" x14ac:dyDescent="0.35">
      <c r="A272" s="260" t="s">
        <v>127</v>
      </c>
      <c r="B272" s="261"/>
      <c r="C272" s="261"/>
      <c r="D272" s="261"/>
      <c r="E272" s="261"/>
      <c r="F272" s="261"/>
      <c r="G272" s="261"/>
      <c r="H272" s="261"/>
      <c r="I272" s="261"/>
      <c r="J272" s="261"/>
      <c r="K272" s="261"/>
      <c r="L272" s="262"/>
    </row>
    <row r="273" spans="1:12" ht="15" thickBot="1" x14ac:dyDescent="0.35">
      <c r="A273" s="69" t="s">
        <v>440</v>
      </c>
      <c r="B273" s="15" t="s">
        <v>388</v>
      </c>
      <c r="C273" s="70">
        <v>5000</v>
      </c>
      <c r="D273" s="263" t="s">
        <v>390</v>
      </c>
      <c r="E273" s="264"/>
      <c r="F273" s="70">
        <v>140000</v>
      </c>
      <c r="G273" s="263" t="s">
        <v>446</v>
      </c>
      <c r="H273" s="264"/>
      <c r="I273" s="71" t="s">
        <v>447</v>
      </c>
      <c r="J273" s="71" t="s">
        <v>395</v>
      </c>
      <c r="K273" s="265" t="s">
        <v>395</v>
      </c>
      <c r="L273" s="266"/>
    </row>
    <row r="274" spans="1:12" ht="15" thickBot="1" x14ac:dyDescent="0.35">
      <c r="A274" s="260" t="s">
        <v>128</v>
      </c>
      <c r="B274" s="261"/>
      <c r="C274" s="261"/>
      <c r="D274" s="261"/>
      <c r="E274" s="261"/>
      <c r="F274" s="261"/>
      <c r="G274" s="261"/>
      <c r="H274" s="261"/>
      <c r="I274" s="261"/>
      <c r="J274" s="261"/>
      <c r="K274" s="261"/>
      <c r="L274" s="262"/>
    </row>
    <row r="275" spans="1:12" ht="15" thickBot="1" x14ac:dyDescent="0.35">
      <c r="A275" s="69" t="s">
        <v>128</v>
      </c>
      <c r="B275" s="70">
        <v>1200</v>
      </c>
      <c r="C275" s="70">
        <v>1200</v>
      </c>
      <c r="D275" s="15" t="s">
        <v>413</v>
      </c>
      <c r="E275" s="265" t="s">
        <v>448</v>
      </c>
      <c r="F275" s="266"/>
      <c r="G275" s="15" t="s">
        <v>415</v>
      </c>
      <c r="H275" s="265" t="s">
        <v>449</v>
      </c>
      <c r="I275" s="266"/>
      <c r="J275" s="265" t="s">
        <v>417</v>
      </c>
      <c r="K275" s="266"/>
      <c r="L275" s="71" t="s">
        <v>417</v>
      </c>
    </row>
    <row r="276" spans="1:12" ht="36.6" thickBot="1" x14ac:dyDescent="0.35">
      <c r="A276" s="72" t="s">
        <v>454</v>
      </c>
      <c r="B276" s="249" t="s">
        <v>450</v>
      </c>
      <c r="C276" s="250"/>
      <c r="D276" s="251" t="s">
        <v>451</v>
      </c>
      <c r="E276" s="252"/>
      <c r="F276" s="253"/>
      <c r="G276" s="254" t="s">
        <v>452</v>
      </c>
      <c r="H276" s="255"/>
      <c r="I276" s="256"/>
      <c r="J276" s="257" t="s">
        <v>453</v>
      </c>
      <c r="K276" s="258"/>
      <c r="L276" s="259"/>
    </row>
    <row r="277" spans="1:12" x14ac:dyDescent="0.3">
      <c r="B277" s="73">
        <f>0.009+0.195+0.055+0.195+0.04+0.001</f>
        <v>0.495</v>
      </c>
      <c r="C277" s="73">
        <f>0.435+0.98+0.002+0.275+0.98+1.3+0.005+0.001</f>
        <v>3.9780000000000002</v>
      </c>
      <c r="D277" s="73">
        <f>0.009+0.301+0.001+0.097+0.301+0.63+0.05+0.021</f>
        <v>1.41</v>
      </c>
      <c r="E277" s="77">
        <f>0.87+3+0.03+33.6+3+7.7+0.3+6.3</f>
        <v>54.8</v>
      </c>
      <c r="G277" s="77">
        <f>0.017+1.2+0.003+5.5+1.2+2.9+0.1+0.23</f>
        <v>11.15</v>
      </c>
      <c r="H277" s="77">
        <f>4.5+29+0.15+38.9+29+33.5+3+150</f>
        <v>288.05</v>
      </c>
      <c r="K277" s="77">
        <f>0.087+24+0.075+284+24+54+6+900</f>
        <v>1292.162</v>
      </c>
      <c r="L277" s="77">
        <f>4.5+121+1.5+315+121+504+6+900</f>
        <v>1973</v>
      </c>
    </row>
    <row r="278" spans="1:12" s="66" customFormat="1" x14ac:dyDescent="0.3">
      <c r="A278" s="66" t="s">
        <v>455</v>
      </c>
      <c r="B278" s="74">
        <v>10000</v>
      </c>
      <c r="C278" s="74">
        <v>100000</v>
      </c>
      <c r="D278" s="75">
        <v>1000000</v>
      </c>
      <c r="E278" s="75">
        <v>10000000</v>
      </c>
      <c r="F278" s="76">
        <v>100000000</v>
      </c>
      <c r="G278" s="76">
        <v>1000000000</v>
      </c>
      <c r="H278" s="76">
        <v>10000000000</v>
      </c>
    </row>
    <row r="279" spans="1:12" x14ac:dyDescent="0.3">
      <c r="G279" s="78"/>
    </row>
  </sheetData>
  <mergeCells count="212">
    <mergeCell ref="W4:W16"/>
    <mergeCell ref="X4:X5"/>
    <mergeCell ref="Z4:Z5"/>
    <mergeCell ref="X6:X8"/>
    <mergeCell ref="X9:X14"/>
    <mergeCell ref="W17:W21"/>
    <mergeCell ref="X17:X19"/>
    <mergeCell ref="X20:X21"/>
    <mergeCell ref="W22:W32"/>
    <mergeCell ref="X15:X16"/>
    <mergeCell ref="W42:W44"/>
    <mergeCell ref="X42:X44"/>
    <mergeCell ref="W45:W47"/>
    <mergeCell ref="X45:X47"/>
    <mergeCell ref="W48:W51"/>
    <mergeCell ref="S53:S58"/>
    <mergeCell ref="X22:X24"/>
    <mergeCell ref="X25:X29"/>
    <mergeCell ref="Z30:Z32"/>
    <mergeCell ref="W33:W35"/>
    <mergeCell ref="X33:X34"/>
    <mergeCell ref="W36:W38"/>
    <mergeCell ref="X36:X38"/>
    <mergeCell ref="Y70:Y73"/>
    <mergeCell ref="T74:T80"/>
    <mergeCell ref="U74:U80"/>
    <mergeCell ref="V74:V77"/>
    <mergeCell ref="Y74:Y80"/>
    <mergeCell ref="V78:V79"/>
    <mergeCell ref="U62:X62"/>
    <mergeCell ref="S64:S65"/>
    <mergeCell ref="T64:T65"/>
    <mergeCell ref="T68:T69"/>
    <mergeCell ref="V68:V69"/>
    <mergeCell ref="T70:T73"/>
    <mergeCell ref="U70:U73"/>
    <mergeCell ref="V70:V72"/>
    <mergeCell ref="T81:T89"/>
    <mergeCell ref="U81:U89"/>
    <mergeCell ref="Y81:Y89"/>
    <mergeCell ref="V82:V85"/>
    <mergeCell ref="V86:V89"/>
    <mergeCell ref="T90:T93"/>
    <mergeCell ref="U90:U93"/>
    <mergeCell ref="Y90:Y93"/>
    <mergeCell ref="V91:V93"/>
    <mergeCell ref="T97:T98"/>
    <mergeCell ref="T99:T102"/>
    <mergeCell ref="U99:U102"/>
    <mergeCell ref="V99:V101"/>
    <mergeCell ref="Y99:Y102"/>
    <mergeCell ref="T103:T109"/>
    <mergeCell ref="U103:U109"/>
    <mergeCell ref="V103:V106"/>
    <mergeCell ref="Y103:Y109"/>
    <mergeCell ref="V107:V108"/>
    <mergeCell ref="T110:T118"/>
    <mergeCell ref="U110:U118"/>
    <mergeCell ref="Y110:Y118"/>
    <mergeCell ref="V111:V114"/>
    <mergeCell ref="V115:V118"/>
    <mergeCell ref="T119:T122"/>
    <mergeCell ref="U119:U122"/>
    <mergeCell ref="Y119:Y122"/>
    <mergeCell ref="V120:V122"/>
    <mergeCell ref="Z126:Z129"/>
    <mergeCell ref="T130:T136"/>
    <mergeCell ref="U130:U136"/>
    <mergeCell ref="V130:V133"/>
    <mergeCell ref="Z130:Z136"/>
    <mergeCell ref="V134:V135"/>
    <mergeCell ref="T124:T125"/>
    <mergeCell ref="V124:V125"/>
    <mergeCell ref="X124:X125"/>
    <mergeCell ref="T126:T129"/>
    <mergeCell ref="U126:U129"/>
    <mergeCell ref="V126:V128"/>
    <mergeCell ref="T137:T145"/>
    <mergeCell ref="U137:U145"/>
    <mergeCell ref="Z137:Z145"/>
    <mergeCell ref="V138:V141"/>
    <mergeCell ref="V142:V145"/>
    <mergeCell ref="T146:T149"/>
    <mergeCell ref="U146:U149"/>
    <mergeCell ref="Z146:Z149"/>
    <mergeCell ref="V147:V149"/>
    <mergeCell ref="T160:T166"/>
    <mergeCell ref="U160:U166"/>
    <mergeCell ref="V160:V166"/>
    <mergeCell ref="Z160:Z166"/>
    <mergeCell ref="T167:T175"/>
    <mergeCell ref="U167:U175"/>
    <mergeCell ref="V167:V175"/>
    <mergeCell ref="Z167:Z175"/>
    <mergeCell ref="T154:T155"/>
    <mergeCell ref="X154:X155"/>
    <mergeCell ref="T156:T159"/>
    <mergeCell ref="U156:U159"/>
    <mergeCell ref="V156:V159"/>
    <mergeCell ref="Z156:Z159"/>
    <mergeCell ref="T186:T193"/>
    <mergeCell ref="U186:U189"/>
    <mergeCell ref="V186:V188"/>
    <mergeCell ref="Y186:Y189"/>
    <mergeCell ref="AA186:AA193"/>
    <mergeCell ref="U190:U193"/>
    <mergeCell ref="V190:V192"/>
    <mergeCell ref="Y190:Y193"/>
    <mergeCell ref="T176:T179"/>
    <mergeCell ref="U176:U179"/>
    <mergeCell ref="V176:V179"/>
    <mergeCell ref="Z176:Z179"/>
    <mergeCell ref="T184:T185"/>
    <mergeCell ref="V184:V185"/>
    <mergeCell ref="T194:T207"/>
    <mergeCell ref="U194:U200"/>
    <mergeCell ref="V194:V197"/>
    <mergeCell ref="Y194:Y200"/>
    <mergeCell ref="AA194:AA207"/>
    <mergeCell ref="V198:V199"/>
    <mergeCell ref="U201:U207"/>
    <mergeCell ref="V201:V204"/>
    <mergeCell ref="Y201:Y207"/>
    <mergeCell ref="V205:V206"/>
    <mergeCell ref="T226:T233"/>
    <mergeCell ref="U226:U229"/>
    <mergeCell ref="Y226:Y229"/>
    <mergeCell ref="AA226:AA233"/>
    <mergeCell ref="V227:V229"/>
    <mergeCell ref="U230:U233"/>
    <mergeCell ref="Y230:Y233"/>
    <mergeCell ref="V231:V233"/>
    <mergeCell ref="T208:T225"/>
    <mergeCell ref="U208:U216"/>
    <mergeCell ref="Y208:Y216"/>
    <mergeCell ref="AA208:AA225"/>
    <mergeCell ref="V209:V212"/>
    <mergeCell ref="V213:V216"/>
    <mergeCell ref="U217:U225"/>
    <mergeCell ref="Y217:Y225"/>
    <mergeCell ref="V218:V221"/>
    <mergeCell ref="V222:V225"/>
    <mergeCell ref="Y239:Y241"/>
    <mergeCell ref="T242:T245"/>
    <mergeCell ref="U242:U245"/>
    <mergeCell ref="V242:V243"/>
    <mergeCell ref="Y242:Y245"/>
    <mergeCell ref="V244:V245"/>
    <mergeCell ref="T236:T237"/>
    <mergeCell ref="V236:V237"/>
    <mergeCell ref="W236:W237"/>
    <mergeCell ref="T239:T241"/>
    <mergeCell ref="U239:U241"/>
    <mergeCell ref="V239:V240"/>
    <mergeCell ref="Y252:Y254"/>
    <mergeCell ref="T255:T258"/>
    <mergeCell ref="U255:U258"/>
    <mergeCell ref="V255:V256"/>
    <mergeCell ref="Y255:Y258"/>
    <mergeCell ref="V257:V258"/>
    <mergeCell ref="T249:T250"/>
    <mergeCell ref="V249:V250"/>
    <mergeCell ref="W249:W250"/>
    <mergeCell ref="T252:T254"/>
    <mergeCell ref="U252:U254"/>
    <mergeCell ref="V252:V253"/>
    <mergeCell ref="D269:E269"/>
    <mergeCell ref="G269:H269"/>
    <mergeCell ref="K269:L269"/>
    <mergeCell ref="G264:H264"/>
    <mergeCell ref="K264:L264"/>
    <mergeCell ref="D265:E265"/>
    <mergeCell ref="G265:H265"/>
    <mergeCell ref="K265:L265"/>
    <mergeCell ref="G261:I261"/>
    <mergeCell ref="J261:L261"/>
    <mergeCell ref="D262:E262"/>
    <mergeCell ref="G262:H262"/>
    <mergeCell ref="K262:L262"/>
    <mergeCell ref="A263:L263"/>
    <mergeCell ref="D264:E264"/>
    <mergeCell ref="A266:L266"/>
    <mergeCell ref="D267:E267"/>
    <mergeCell ref="G267:H267"/>
    <mergeCell ref="A260:A262"/>
    <mergeCell ref="B260:L260"/>
    <mergeCell ref="B261:C261"/>
    <mergeCell ref="D261:F261"/>
    <mergeCell ref="I40:I45"/>
    <mergeCell ref="K48:N48"/>
    <mergeCell ref="I50:I51"/>
    <mergeCell ref="J50:J51"/>
    <mergeCell ref="B276:C276"/>
    <mergeCell ref="D276:F276"/>
    <mergeCell ref="G276:I276"/>
    <mergeCell ref="J276:L276"/>
    <mergeCell ref="A272:L272"/>
    <mergeCell ref="D273:E273"/>
    <mergeCell ref="G273:H273"/>
    <mergeCell ref="K273:L273"/>
    <mergeCell ref="A274:L274"/>
    <mergeCell ref="E275:F275"/>
    <mergeCell ref="H275:I275"/>
    <mergeCell ref="J275:K275"/>
    <mergeCell ref="A270:L270"/>
    <mergeCell ref="D271:E271"/>
    <mergeCell ref="G271:H271"/>
    <mergeCell ref="K271:L271"/>
    <mergeCell ref="K267:L267"/>
    <mergeCell ref="D268:E268"/>
    <mergeCell ref="G268:H268"/>
    <mergeCell ref="K268:L268"/>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38"/>
  <sheetViews>
    <sheetView topLeftCell="A11" workbookViewId="0">
      <selection activeCell="A13" sqref="A13"/>
    </sheetView>
  </sheetViews>
  <sheetFormatPr defaultRowHeight="14.4" x14ac:dyDescent="0.3"/>
  <cols>
    <col min="1" max="1" width="39.5546875" customWidth="1"/>
    <col min="2" max="2" width="79.44140625" customWidth="1"/>
    <col min="3" max="3" width="28.6640625" customWidth="1"/>
    <col min="4" max="4" width="13.33203125" customWidth="1"/>
    <col min="5" max="5" width="12.44140625" customWidth="1"/>
    <col min="6" max="6" width="13.33203125" customWidth="1"/>
    <col min="7" max="7" width="14.44140625" customWidth="1"/>
    <col min="8" max="8" width="6.33203125" customWidth="1"/>
    <col min="9" max="9" width="9" customWidth="1"/>
    <col min="10" max="14" width="15.6640625" customWidth="1"/>
  </cols>
  <sheetData>
    <row r="1" spans="1:14" s="117" customFormat="1" x14ac:dyDescent="0.3">
      <c r="A1" s="154" t="s">
        <v>694</v>
      </c>
      <c r="B1" s="154"/>
    </row>
    <row r="2" spans="1:14" s="117" customFormat="1" x14ac:dyDescent="0.3">
      <c r="A2" s="117" t="s">
        <v>695</v>
      </c>
    </row>
    <row r="3" spans="1:14" s="117" customFormat="1" x14ac:dyDescent="0.3">
      <c r="A3" s="117" t="s">
        <v>696</v>
      </c>
    </row>
    <row r="4" spans="1:14" s="117" customFormat="1" x14ac:dyDescent="0.3">
      <c r="A4" s="117" t="s">
        <v>697</v>
      </c>
    </row>
    <row r="5" spans="1:14" s="117" customFormat="1" x14ac:dyDescent="0.3">
      <c r="A5" s="117" t="s">
        <v>698</v>
      </c>
    </row>
    <row r="6" spans="1:14" s="117" customFormat="1" x14ac:dyDescent="0.3"/>
    <row r="7" spans="1:14" x14ac:dyDescent="0.3">
      <c r="E7" s="86" t="s">
        <v>606</v>
      </c>
      <c r="F7" s="86"/>
      <c r="I7" s="127"/>
      <c r="J7" s="127" t="s">
        <v>630</v>
      </c>
      <c r="K7" s="128"/>
      <c r="L7" s="128"/>
      <c r="M7" s="128"/>
    </row>
    <row r="8" spans="1:14" s="80" customFormat="1" ht="28.8" x14ac:dyDescent="0.3">
      <c r="A8" s="107" t="s">
        <v>601</v>
      </c>
      <c r="B8" s="107" t="s">
        <v>549</v>
      </c>
      <c r="C8" s="107" t="s">
        <v>551</v>
      </c>
      <c r="E8" s="107" t="s">
        <v>558</v>
      </c>
      <c r="F8" s="107" t="s">
        <v>612</v>
      </c>
      <c r="G8" s="100" t="s">
        <v>625</v>
      </c>
      <c r="I8" s="130"/>
      <c r="J8" s="107" t="s">
        <v>631</v>
      </c>
      <c r="K8" s="107" t="s">
        <v>632</v>
      </c>
      <c r="L8" s="107" t="s">
        <v>633</v>
      </c>
      <c r="M8" s="107" t="s">
        <v>634</v>
      </c>
      <c r="N8" s="107" t="s">
        <v>636</v>
      </c>
    </row>
    <row r="9" spans="1:14" ht="105" customHeight="1" x14ac:dyDescent="0.3">
      <c r="A9" t="s">
        <v>546</v>
      </c>
      <c r="B9" s="80" t="s">
        <v>556</v>
      </c>
      <c r="C9" s="118" t="s">
        <v>607</v>
      </c>
      <c r="D9" s="125" t="s">
        <v>628</v>
      </c>
      <c r="E9" s="119">
        <f>11059*0.1*100*0.001</f>
        <v>110.59000000000002</v>
      </c>
      <c r="F9" s="119">
        <f>11060*1*10*100</f>
        <v>11060000</v>
      </c>
      <c r="G9" s="129" t="s">
        <v>627</v>
      </c>
      <c r="J9" s="148">
        <v>1000</v>
      </c>
      <c r="K9" s="148">
        <v>1000000</v>
      </c>
      <c r="L9" s="148">
        <v>15000000</v>
      </c>
      <c r="M9" s="133"/>
      <c r="N9" s="133"/>
    </row>
    <row r="10" spans="1:14" ht="75" customHeight="1" x14ac:dyDescent="0.3">
      <c r="A10" t="s">
        <v>555</v>
      </c>
      <c r="B10" s="80" t="s">
        <v>557</v>
      </c>
      <c r="C10" s="118" t="s">
        <v>605</v>
      </c>
      <c r="D10" s="125" t="s">
        <v>629</v>
      </c>
      <c r="E10" s="119">
        <f>2000*2010*0.01</f>
        <v>40200</v>
      </c>
      <c r="F10" s="119">
        <f>2010*13000*1</f>
        <v>26130000</v>
      </c>
      <c r="G10" s="129" t="s">
        <v>613</v>
      </c>
      <c r="J10" s="148">
        <v>400000</v>
      </c>
      <c r="K10" s="148">
        <v>2000000</v>
      </c>
      <c r="L10" s="148">
        <v>26000000</v>
      </c>
      <c r="M10" s="133"/>
      <c r="N10" s="133"/>
    </row>
    <row r="11" spans="1:14" ht="122.25" customHeight="1" x14ac:dyDescent="0.3">
      <c r="A11" t="s">
        <v>547</v>
      </c>
      <c r="B11" s="80" t="s">
        <v>562</v>
      </c>
      <c r="C11" s="118" t="s">
        <v>604</v>
      </c>
      <c r="D11" s="125"/>
      <c r="E11" s="119">
        <f>2100*3.142*5280^2/43560*0.01</f>
        <v>42228.480000000003</v>
      </c>
      <c r="F11" s="119">
        <f>2100*3.142*5280^2/43560*1</f>
        <v>4222848</v>
      </c>
      <c r="G11" s="129" t="s">
        <v>563</v>
      </c>
      <c r="J11" s="148">
        <v>100000</v>
      </c>
      <c r="K11" s="148">
        <v>2500000</v>
      </c>
      <c r="L11" s="148">
        <v>8500000</v>
      </c>
      <c r="M11" s="133"/>
      <c r="N11" s="133"/>
    </row>
    <row r="12" spans="1:14" ht="36.75" customHeight="1" x14ac:dyDescent="0.3">
      <c r="A12" t="s">
        <v>548</v>
      </c>
      <c r="B12" s="80" t="s">
        <v>561</v>
      </c>
      <c r="C12" s="118" t="s">
        <v>602</v>
      </c>
      <c r="D12" s="125"/>
      <c r="E12" s="119">
        <f>19.3*1128</f>
        <v>21770.400000000001</v>
      </c>
      <c r="F12" s="119">
        <f>19300*1128</f>
        <v>21770400</v>
      </c>
      <c r="G12" s="129" t="s">
        <v>566</v>
      </c>
      <c r="J12" s="148">
        <v>250000</v>
      </c>
      <c r="K12" s="148">
        <v>6000000</v>
      </c>
      <c r="L12" s="148">
        <v>85000000</v>
      </c>
      <c r="M12" s="133"/>
      <c r="N12" s="133"/>
    </row>
    <row r="13" spans="1:14" ht="67.5" customHeight="1" x14ac:dyDescent="0.3">
      <c r="A13" t="s">
        <v>550</v>
      </c>
      <c r="B13" s="80" t="s">
        <v>565</v>
      </c>
      <c r="C13" s="118" t="s">
        <v>603</v>
      </c>
      <c r="D13" s="125"/>
      <c r="E13" s="119">
        <f>1000000*0.01</f>
        <v>10000</v>
      </c>
      <c r="F13" s="119">
        <f>1000000*10</f>
        <v>10000000</v>
      </c>
      <c r="G13" s="129" t="s">
        <v>564</v>
      </c>
      <c r="J13" s="148">
        <v>10000</v>
      </c>
      <c r="K13" s="148">
        <v>100000</v>
      </c>
      <c r="L13" s="148">
        <v>1000000</v>
      </c>
      <c r="M13" s="133"/>
      <c r="N13" s="133"/>
    </row>
    <row r="14" spans="1:14" x14ac:dyDescent="0.3">
      <c r="I14" s="131" t="s">
        <v>635</v>
      </c>
      <c r="J14" s="149">
        <f>SUM(J9:J13)</f>
        <v>761000</v>
      </c>
      <c r="K14" s="149">
        <f t="shared" ref="K14:L14" si="0">SUM(K9:K13)</f>
        <v>11600000</v>
      </c>
      <c r="L14" s="149">
        <f t="shared" si="0"/>
        <v>135500000</v>
      </c>
    </row>
    <row r="16" spans="1:14" ht="64.5" customHeight="1" x14ac:dyDescent="0.3">
      <c r="B16" s="2" t="s">
        <v>611</v>
      </c>
      <c r="C16" s="2" t="s">
        <v>72</v>
      </c>
      <c r="J16" s="340" t="s">
        <v>732</v>
      </c>
      <c r="K16" s="340"/>
      <c r="L16" s="340"/>
      <c r="M16" s="340"/>
      <c r="N16" s="340"/>
    </row>
    <row r="17" spans="1:14" x14ac:dyDescent="0.3">
      <c r="C17">
        <v>1</v>
      </c>
      <c r="D17">
        <v>2</v>
      </c>
      <c r="E17">
        <v>3</v>
      </c>
      <c r="F17">
        <v>6</v>
      </c>
      <c r="G17">
        <v>9</v>
      </c>
      <c r="H17" s="2" t="s">
        <v>74</v>
      </c>
      <c r="I17" s="2"/>
      <c r="L17" s="2"/>
      <c r="M17" s="2"/>
    </row>
    <row r="18" spans="1:14" x14ac:dyDescent="0.3">
      <c r="B18" s="2" t="s">
        <v>73</v>
      </c>
      <c r="C18">
        <v>0.8</v>
      </c>
      <c r="D18">
        <v>0.18</v>
      </c>
      <c r="E18">
        <v>1.89E-2</v>
      </c>
      <c r="F18">
        <v>1E-3</v>
      </c>
      <c r="G18">
        <v>1E-4</v>
      </c>
      <c r="H18">
        <f>SUM(C18:G18)</f>
        <v>1</v>
      </c>
    </row>
    <row r="19" spans="1:14" ht="65.25" customHeight="1" x14ac:dyDescent="0.3">
      <c r="C19">
        <f>2*3.142*1760</f>
        <v>11059.84</v>
      </c>
      <c r="J19" s="340" t="s">
        <v>730</v>
      </c>
      <c r="K19" s="340"/>
      <c r="L19" s="340"/>
      <c r="M19" s="340"/>
      <c r="N19" s="340"/>
    </row>
    <row r="20" spans="1:14" x14ac:dyDescent="0.3">
      <c r="B20" s="103"/>
      <c r="C20">
        <f>3.142*5280^2/43560</f>
        <v>2010.8799999999999</v>
      </c>
    </row>
    <row r="21" spans="1:14" ht="76.5" customHeight="1" x14ac:dyDescent="0.3">
      <c r="B21" s="103"/>
      <c r="J21" s="340" t="s">
        <v>731</v>
      </c>
      <c r="K21" s="340"/>
      <c r="L21" s="340"/>
      <c r="M21" s="340"/>
      <c r="N21" s="340"/>
    </row>
    <row r="22" spans="1:14" x14ac:dyDescent="0.3">
      <c r="A22" s="3"/>
      <c r="B22" s="103"/>
      <c r="C22" s="3"/>
    </row>
    <row r="23" spans="1:14" x14ac:dyDescent="0.3">
      <c r="A23" s="4"/>
      <c r="B23" s="103"/>
      <c r="C23" s="106" t="s">
        <v>70</v>
      </c>
      <c r="D23" s="106" t="s">
        <v>608</v>
      </c>
    </row>
    <row r="24" spans="1:14" x14ac:dyDescent="0.3">
      <c r="A24" s="4"/>
      <c r="B24" s="103"/>
      <c r="C24" s="8" t="s">
        <v>77</v>
      </c>
      <c r="D24" s="112" t="s">
        <v>596</v>
      </c>
    </row>
    <row r="25" spans="1:14" x14ac:dyDescent="0.3">
      <c r="A25" s="4"/>
      <c r="B25" s="103"/>
      <c r="C25" s="106" t="s">
        <v>79</v>
      </c>
      <c r="D25" s="103">
        <v>1E-3</v>
      </c>
    </row>
    <row r="26" spans="1:14" x14ac:dyDescent="0.3">
      <c r="B26" s="103"/>
      <c r="C26" s="3" t="s">
        <v>80</v>
      </c>
      <c r="D26" s="103">
        <v>0.01</v>
      </c>
    </row>
    <row r="27" spans="1:14" x14ac:dyDescent="0.3">
      <c r="C27" s="4" t="s">
        <v>78</v>
      </c>
      <c r="D27" s="103">
        <v>0.1</v>
      </c>
    </row>
    <row r="28" spans="1:14" x14ac:dyDescent="0.3">
      <c r="C28" s="4" t="s">
        <v>81</v>
      </c>
      <c r="D28" s="103">
        <v>1</v>
      </c>
    </row>
    <row r="29" spans="1:14" x14ac:dyDescent="0.3">
      <c r="B29" s="104"/>
      <c r="C29" s="4" t="s">
        <v>89</v>
      </c>
      <c r="D29" s="103">
        <v>10</v>
      </c>
    </row>
    <row r="30" spans="1:14" x14ac:dyDescent="0.3">
      <c r="A30" s="66"/>
      <c r="B30" s="104"/>
      <c r="C30" s="106" t="s">
        <v>90</v>
      </c>
      <c r="D30" s="103" t="s">
        <v>626</v>
      </c>
    </row>
    <row r="31" spans="1:14" x14ac:dyDescent="0.3">
      <c r="A31" s="66"/>
      <c r="B31" s="104"/>
    </row>
    <row r="32" spans="1:14" x14ac:dyDescent="0.3">
      <c r="A32" s="66"/>
      <c r="B32" s="104"/>
      <c r="C32" s="8" t="s">
        <v>559</v>
      </c>
      <c r="D32" s="8" t="s">
        <v>560</v>
      </c>
    </row>
    <row r="33" spans="1:4" x14ac:dyDescent="0.3">
      <c r="A33" s="66"/>
      <c r="B33" s="104"/>
      <c r="C33" s="106">
        <v>1000</v>
      </c>
      <c r="D33" s="104">
        <v>19.3</v>
      </c>
    </row>
    <row r="34" spans="1:4" x14ac:dyDescent="0.3">
      <c r="A34" s="66"/>
      <c r="B34" s="104"/>
      <c r="C34" s="66">
        <v>10000</v>
      </c>
      <c r="D34" s="104">
        <v>193</v>
      </c>
    </row>
    <row r="35" spans="1:4" x14ac:dyDescent="0.3">
      <c r="C35" s="66">
        <v>100000</v>
      </c>
      <c r="D35" s="104">
        <v>1930</v>
      </c>
    </row>
    <row r="36" spans="1:4" x14ac:dyDescent="0.3">
      <c r="C36" s="66">
        <v>1000000</v>
      </c>
      <c r="D36" s="104">
        <v>19300</v>
      </c>
    </row>
    <row r="37" spans="1:4" x14ac:dyDescent="0.3">
      <c r="C37" s="66">
        <v>10000000</v>
      </c>
      <c r="D37" s="104">
        <v>193000</v>
      </c>
    </row>
    <row r="38" spans="1:4" x14ac:dyDescent="0.3">
      <c r="C38" s="66">
        <v>100000000</v>
      </c>
      <c r="D38" s="104">
        <v>1930000</v>
      </c>
    </row>
  </sheetData>
  <mergeCells count="3">
    <mergeCell ref="J16:N16"/>
    <mergeCell ref="J19:N19"/>
    <mergeCell ref="J21:N21"/>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38"/>
  <sheetViews>
    <sheetView topLeftCell="A23" workbookViewId="0">
      <selection activeCell="A7" sqref="A7:A28"/>
    </sheetView>
  </sheetViews>
  <sheetFormatPr defaultRowHeight="14.4" x14ac:dyDescent="0.3"/>
  <cols>
    <col min="1" max="1" width="58.88671875" style="80" customWidth="1"/>
    <col min="2" max="5" width="13.6640625" style="109" customWidth="1"/>
    <col min="6" max="6" width="3.5546875" customWidth="1"/>
  </cols>
  <sheetData>
    <row r="1" spans="1:6" s="105" customFormat="1" x14ac:dyDescent="0.3">
      <c r="A1" s="100" t="s">
        <v>682</v>
      </c>
      <c r="B1" s="109"/>
      <c r="C1" s="109"/>
      <c r="D1" s="109"/>
      <c r="E1" s="109"/>
    </row>
    <row r="2" spans="1:6" s="143" customFormat="1" ht="57.6" x14ac:dyDescent="0.3">
      <c r="A2" s="152" t="s">
        <v>693</v>
      </c>
      <c r="B2" s="153"/>
      <c r="C2" s="153"/>
      <c r="D2" s="153"/>
      <c r="E2" s="153"/>
    </row>
    <row r="3" spans="1:6" s="117" customFormat="1" ht="57.6" x14ac:dyDescent="0.3">
      <c r="A3" s="152" t="s">
        <v>699</v>
      </c>
      <c r="B3" s="109"/>
      <c r="C3" s="109"/>
      <c r="D3" s="109"/>
      <c r="E3" s="109"/>
    </row>
    <row r="4" spans="1:6" s="117" customFormat="1" x14ac:dyDescent="0.3">
      <c r="A4" s="100"/>
      <c r="B4" s="109"/>
      <c r="C4" s="109"/>
      <c r="D4" s="109"/>
      <c r="E4" s="109"/>
    </row>
    <row r="5" spans="1:6" s="105" customFormat="1" x14ac:dyDescent="0.3">
      <c r="A5" s="80"/>
      <c r="B5" s="109"/>
      <c r="C5" s="109"/>
      <c r="D5" s="109"/>
      <c r="E5" s="116" t="s">
        <v>609</v>
      </c>
    </row>
    <row r="6" spans="1:6" x14ac:dyDescent="0.3">
      <c r="A6" s="107" t="s">
        <v>590</v>
      </c>
      <c r="B6" s="113" t="s">
        <v>586</v>
      </c>
      <c r="C6" s="113" t="s">
        <v>591</v>
      </c>
      <c r="D6" s="113" t="s">
        <v>587</v>
      </c>
      <c r="E6" s="113" t="s">
        <v>610</v>
      </c>
      <c r="F6" s="87"/>
    </row>
    <row r="7" spans="1:6" x14ac:dyDescent="0.3">
      <c r="A7" s="100" t="s">
        <v>583</v>
      </c>
      <c r="B7" s="151">
        <v>100000</v>
      </c>
      <c r="C7" s="151">
        <v>1000000</v>
      </c>
      <c r="D7" s="151">
        <v>10000000</v>
      </c>
      <c r="E7" s="114"/>
      <c r="F7" s="101"/>
    </row>
    <row r="8" spans="1:6" s="105" customFormat="1" x14ac:dyDescent="0.3">
      <c r="A8" s="100" t="s">
        <v>585</v>
      </c>
      <c r="B8" s="151">
        <v>100000</v>
      </c>
      <c r="C8" s="151">
        <v>1000000</v>
      </c>
      <c r="D8" s="151">
        <v>10000000</v>
      </c>
      <c r="E8" s="114"/>
      <c r="F8" s="101"/>
    </row>
    <row r="9" spans="1:6" s="105" customFormat="1" x14ac:dyDescent="0.3">
      <c r="A9" s="100" t="s">
        <v>574</v>
      </c>
      <c r="B9" s="151">
        <v>1000</v>
      </c>
      <c r="C9" s="151">
        <v>10000</v>
      </c>
      <c r="D9" s="151">
        <v>100000</v>
      </c>
      <c r="E9" s="114"/>
      <c r="F9" s="101"/>
    </row>
    <row r="10" spans="1:6" s="105" customFormat="1" ht="28.8" x14ac:dyDescent="0.3">
      <c r="A10" s="100" t="s">
        <v>579</v>
      </c>
      <c r="B10" s="151">
        <v>1000</v>
      </c>
      <c r="C10" s="151">
        <v>10000</v>
      </c>
      <c r="D10" s="151">
        <v>100000</v>
      </c>
      <c r="E10" s="114"/>
      <c r="F10" s="101"/>
    </row>
    <row r="11" spans="1:6" s="105" customFormat="1" x14ac:dyDescent="0.3">
      <c r="A11" s="100" t="s">
        <v>580</v>
      </c>
      <c r="B11" s="151">
        <v>100</v>
      </c>
      <c r="C11" s="151">
        <v>1000</v>
      </c>
      <c r="D11" s="151">
        <v>10000</v>
      </c>
      <c r="E11" s="114"/>
      <c r="F11" s="101"/>
    </row>
    <row r="12" spans="1:6" x14ac:dyDescent="0.3">
      <c r="A12" s="100" t="s">
        <v>582</v>
      </c>
      <c r="B12" s="151">
        <v>10000</v>
      </c>
      <c r="C12" s="151">
        <v>100000</v>
      </c>
      <c r="D12" s="151">
        <v>1000000</v>
      </c>
      <c r="E12" s="114"/>
      <c r="F12" s="101"/>
    </row>
    <row r="13" spans="1:6" x14ac:dyDescent="0.3">
      <c r="A13" s="100" t="s">
        <v>584</v>
      </c>
      <c r="B13" s="151">
        <v>1000000</v>
      </c>
      <c r="C13" s="151">
        <v>3000000</v>
      </c>
      <c r="D13" s="151">
        <v>10000000</v>
      </c>
      <c r="E13" s="114"/>
      <c r="F13" s="101"/>
    </row>
    <row r="14" spans="1:6" s="105" customFormat="1" ht="28.8" x14ac:dyDescent="0.3">
      <c r="A14" s="100" t="s">
        <v>573</v>
      </c>
      <c r="B14" s="151">
        <v>1000000</v>
      </c>
      <c r="C14" s="151">
        <v>3000000</v>
      </c>
      <c r="D14" s="151">
        <v>10000000</v>
      </c>
      <c r="E14" s="114"/>
      <c r="F14" s="101"/>
    </row>
    <row r="15" spans="1:6" s="105" customFormat="1" x14ac:dyDescent="0.3">
      <c r="A15" s="100" t="s">
        <v>575</v>
      </c>
      <c r="B15" s="151">
        <v>10000</v>
      </c>
      <c r="C15" s="151">
        <v>100000</v>
      </c>
      <c r="D15" s="151">
        <v>1000000</v>
      </c>
      <c r="E15" s="114"/>
      <c r="F15" s="101"/>
    </row>
    <row r="16" spans="1:6" ht="28.8" x14ac:dyDescent="0.3">
      <c r="A16" s="100" t="s">
        <v>581</v>
      </c>
      <c r="B16" s="151">
        <v>10000</v>
      </c>
      <c r="C16" s="151">
        <v>100000</v>
      </c>
      <c r="D16" s="151">
        <v>1000000</v>
      </c>
      <c r="E16" s="114"/>
      <c r="F16" s="101"/>
    </row>
    <row r="17" spans="1:6" x14ac:dyDescent="0.3">
      <c r="A17" s="100" t="s">
        <v>576</v>
      </c>
      <c r="B17" s="151">
        <v>10000</v>
      </c>
      <c r="C17" s="151">
        <v>100000</v>
      </c>
      <c r="D17" s="151">
        <v>1000000</v>
      </c>
      <c r="E17" s="114"/>
      <c r="F17" s="101"/>
    </row>
    <row r="18" spans="1:6" x14ac:dyDescent="0.3">
      <c r="A18" s="100" t="s">
        <v>578</v>
      </c>
      <c r="B18" s="151">
        <v>100000</v>
      </c>
      <c r="C18" s="151">
        <v>1000000</v>
      </c>
      <c r="D18" s="151">
        <v>10000000</v>
      </c>
      <c r="E18" s="114"/>
      <c r="F18" s="101"/>
    </row>
    <row r="19" spans="1:6" s="105" customFormat="1" x14ac:dyDescent="0.3">
      <c r="A19" s="100" t="s">
        <v>577</v>
      </c>
      <c r="B19" s="151">
        <v>100000</v>
      </c>
      <c r="C19" s="151">
        <v>1000000</v>
      </c>
      <c r="D19" s="151">
        <v>10000000</v>
      </c>
      <c r="E19" s="114"/>
      <c r="F19" s="101"/>
    </row>
    <row r="20" spans="1:6" x14ac:dyDescent="0.3">
      <c r="A20" s="100" t="s">
        <v>572</v>
      </c>
      <c r="B20" s="151">
        <v>100000</v>
      </c>
      <c r="C20" s="151">
        <v>1000000</v>
      </c>
      <c r="D20" s="151">
        <v>10000000</v>
      </c>
      <c r="E20" s="114"/>
      <c r="F20" s="101"/>
    </row>
    <row r="21" spans="1:6" x14ac:dyDescent="0.3">
      <c r="A21" s="100" t="s">
        <v>588</v>
      </c>
      <c r="B21" s="151">
        <v>100000</v>
      </c>
      <c r="C21" s="151">
        <v>1000000</v>
      </c>
      <c r="D21" s="151">
        <v>10000000</v>
      </c>
      <c r="E21" s="114"/>
      <c r="F21" s="101"/>
    </row>
    <row r="22" spans="1:6" s="117" customFormat="1" x14ac:dyDescent="0.3">
      <c r="A22" s="120" t="s">
        <v>614</v>
      </c>
      <c r="B22" s="151">
        <v>1000000</v>
      </c>
      <c r="C22" s="151">
        <v>10000000</v>
      </c>
      <c r="D22" s="151">
        <v>100000000</v>
      </c>
      <c r="E22" s="114"/>
      <c r="F22" s="101"/>
    </row>
    <row r="23" spans="1:6" s="117" customFormat="1" x14ac:dyDescent="0.3">
      <c r="A23" s="120" t="s">
        <v>615</v>
      </c>
      <c r="B23" s="151">
        <v>1000</v>
      </c>
      <c r="C23" s="151">
        <v>10000</v>
      </c>
      <c r="D23" s="151">
        <v>100000</v>
      </c>
      <c r="E23" s="114"/>
      <c r="F23" s="101"/>
    </row>
    <row r="24" spans="1:6" s="117" customFormat="1" x14ac:dyDescent="0.3">
      <c r="A24" s="120" t="s">
        <v>623</v>
      </c>
      <c r="B24" s="151">
        <v>100000</v>
      </c>
      <c r="C24" s="151">
        <v>1000000</v>
      </c>
      <c r="D24" s="151">
        <v>10000000</v>
      </c>
      <c r="E24" s="114"/>
      <c r="F24" s="101"/>
    </row>
    <row r="25" spans="1:6" s="117" customFormat="1" x14ac:dyDescent="0.3">
      <c r="A25" s="121" t="s">
        <v>616</v>
      </c>
      <c r="B25" s="124" t="s">
        <v>621</v>
      </c>
      <c r="C25" s="122"/>
      <c r="D25" s="122"/>
      <c r="E25" s="122"/>
      <c r="F25" s="123"/>
    </row>
    <row r="26" spans="1:6" s="117" customFormat="1" x14ac:dyDescent="0.3">
      <c r="A26" s="121" t="s">
        <v>617</v>
      </c>
      <c r="B26" s="124" t="s">
        <v>621</v>
      </c>
      <c r="C26" s="122"/>
      <c r="D26" s="122"/>
      <c r="E26" s="122"/>
      <c r="F26" s="123"/>
    </row>
    <row r="27" spans="1:6" s="117" customFormat="1" x14ac:dyDescent="0.3">
      <c r="A27" s="121" t="s">
        <v>618</v>
      </c>
      <c r="B27" s="124" t="s">
        <v>622</v>
      </c>
      <c r="C27" s="122"/>
      <c r="D27" s="122"/>
      <c r="E27" s="122"/>
      <c r="F27" s="123"/>
    </row>
    <row r="28" spans="1:6" s="117" customFormat="1" x14ac:dyDescent="0.3">
      <c r="A28" s="120" t="s">
        <v>619</v>
      </c>
      <c r="B28" s="151">
        <v>10000</v>
      </c>
      <c r="C28" s="151">
        <v>100000</v>
      </c>
      <c r="D28" s="151">
        <v>1000000</v>
      </c>
      <c r="E28" s="114"/>
      <c r="F28" s="101"/>
    </row>
    <row r="29" spans="1:6" s="117" customFormat="1" x14ac:dyDescent="0.3">
      <c r="A29" s="121" t="s">
        <v>624</v>
      </c>
      <c r="B29" s="124" t="s">
        <v>622</v>
      </c>
      <c r="C29" s="122"/>
      <c r="D29" s="122"/>
      <c r="E29" s="122"/>
      <c r="F29" s="123"/>
    </row>
    <row r="30" spans="1:6" s="117" customFormat="1" x14ac:dyDescent="0.3">
      <c r="A30" s="121" t="s">
        <v>620</v>
      </c>
      <c r="B30" s="124" t="s">
        <v>622</v>
      </c>
      <c r="C30" s="122"/>
      <c r="D30" s="122"/>
      <c r="E30" s="122"/>
      <c r="F30" s="123"/>
    </row>
    <row r="31" spans="1:6" x14ac:dyDescent="0.3">
      <c r="A31" s="107"/>
      <c r="B31" s="115"/>
      <c r="C31" s="115"/>
      <c r="D31" s="115"/>
      <c r="E31" s="115"/>
      <c r="F31" s="101"/>
    </row>
    <row r="32" spans="1:6" x14ac:dyDescent="0.3">
      <c r="A32" s="100" t="s">
        <v>589</v>
      </c>
      <c r="B32" s="150">
        <f>SUM(B7:B31)</f>
        <v>3753100</v>
      </c>
      <c r="C32" s="150">
        <f t="shared" ref="C32:D32" si="0">SUM(C7:C31)</f>
        <v>23531000</v>
      </c>
      <c r="D32" s="150">
        <f t="shared" si="0"/>
        <v>195310000</v>
      </c>
      <c r="E32" s="114"/>
    </row>
    <row r="34" spans="1:1" ht="43.2" x14ac:dyDescent="0.3">
      <c r="A34" s="80" t="s">
        <v>592</v>
      </c>
    </row>
    <row r="36" spans="1:1" ht="43.2" x14ac:dyDescent="0.3">
      <c r="A36" s="80" t="s">
        <v>593</v>
      </c>
    </row>
    <row r="38" spans="1:1" ht="86.4" x14ac:dyDescent="0.3">
      <c r="A38" s="80" t="s">
        <v>594</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vt:i4>
      </vt:variant>
    </vt:vector>
  </HeadingPairs>
  <TitlesOfParts>
    <vt:vector size="16" baseType="lpstr">
      <vt:lpstr>Instructions</vt:lpstr>
      <vt:lpstr>Safety - Surface Release</vt:lpstr>
      <vt:lpstr>Safety - SurfaceFire Calc</vt:lpstr>
      <vt:lpstr>Safety - SubSurface Release</vt:lpstr>
      <vt:lpstr>Safety - SubSurface ReleaseCalc</vt:lpstr>
      <vt:lpstr> Safety-Subsurf-Rls AltDist</vt:lpstr>
      <vt:lpstr>Environmental</vt:lpstr>
      <vt:lpstr>Environmental COFcalc</vt:lpstr>
      <vt:lpstr>Svc-Reliability-Finan COFcalc</vt:lpstr>
      <vt:lpstr>COFCases - Base Examples - TP</vt:lpstr>
      <vt:lpstr>COFCases-BaseEx-RiskRed-TP</vt:lpstr>
      <vt:lpstr>COFCases-Inverted Expl-TP</vt:lpstr>
      <vt:lpstr>COFCases-InvertEx-RiskRed-TP</vt:lpstr>
      <vt:lpstr>COFCases-Mixed Expl - TP</vt:lpstr>
      <vt:lpstr>COFCases-MixedEx-RiskRed-TP</vt:lpstr>
      <vt:lpstr>Environmental!_Toc374453103</vt:lpstr>
    </vt:vector>
  </TitlesOfParts>
  <Company>TransCanada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Stephen Nowaczewski</dc:creator>
  <cp:lastModifiedBy>17349</cp:lastModifiedBy>
  <dcterms:created xsi:type="dcterms:W3CDTF">2017-02-20T00:18:18Z</dcterms:created>
  <dcterms:modified xsi:type="dcterms:W3CDTF">2020-10-13T12:26:08Z</dcterms:modified>
</cp:coreProperties>
</file>