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24226"/>
  <mc:AlternateContent xmlns:mc="http://schemas.openxmlformats.org/markup-compatibility/2006">
    <mc:Choice Requires="x15">
      <x15ac:absPath xmlns:x15ac="http://schemas.microsoft.com/office/spreadsheetml/2010/11/ac" url="C:\Users\17349\Documents\Nova Northstar\Battelle\"/>
    </mc:Choice>
  </mc:AlternateContent>
  <xr:revisionPtr revIDLastSave="0" documentId="13_ncr:1_{5486F48D-78D4-4524-8D27-99B4162FAB4B}" xr6:coauthVersionLast="45" xr6:coauthVersionMax="45" xr10:uidLastSave="{00000000-0000-0000-0000-000000000000}"/>
  <bookViews>
    <workbookView xWindow="-108" yWindow="-108" windowWidth="23256" windowHeight="12576" firstSheet="9" activeTab="11" xr2:uid="{00000000-000D-0000-FFFF-FFFF00000000}"/>
  </bookViews>
  <sheets>
    <sheet name="Instructions" sheetId="11" r:id="rId1"/>
    <sheet name="Safety - Surface Release" sheetId="1" r:id="rId2"/>
    <sheet name="Safety - SurfaceFire Calc" sheetId="9" r:id="rId3"/>
    <sheet name="Safety - SubSurface Release" sheetId="5" r:id="rId4"/>
    <sheet name="Safety - SubSurface ReleaseCalc" sheetId="7" r:id="rId5"/>
    <sheet name=" Safety-Subsurf-Rls AltDist" sheetId="17" r:id="rId6"/>
    <sheet name="Environmental" sheetId="4" r:id="rId7"/>
    <sheet name="Environmental COFcalc" sheetId="2" r:id="rId8"/>
    <sheet name="Svc-Reliability-Financ COFcalc" sheetId="6" r:id="rId9"/>
    <sheet name="Notes on TP +SSSV Risk Analysis" sheetId="34" r:id="rId10"/>
    <sheet name="COFCases-Base Expls-TP+SSSV" sheetId="13" r:id="rId11"/>
    <sheet name="COFCases-BaseExRiskRed-TP+SSSV" sheetId="15" r:id="rId12"/>
    <sheet name="COFCases-InvertedEx-TP+SSSV" sheetId="30" r:id="rId13"/>
    <sheet name="COFCase-InvertExRiskRed-TP+SSSV" sheetId="32" r:id="rId14"/>
    <sheet name="COFCases-MixedExpls-TP+SSSV" sheetId="31" r:id="rId15"/>
    <sheet name="COFCases-MixedExRiskRed-TP+SSSV" sheetId="33" r:id="rId16"/>
  </sheets>
  <definedNames>
    <definedName name="_Toc374453103" localSheetId="6">Environmental!$F$181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6" i="30" l="1"/>
  <c r="Q16" i="30"/>
  <c r="R16" i="30"/>
  <c r="P17" i="30"/>
  <c r="Q17" i="30"/>
  <c r="R17" i="30"/>
  <c r="P18" i="30"/>
  <c r="Q18" i="30"/>
  <c r="R18" i="30"/>
  <c r="P19" i="30"/>
  <c r="Q19" i="30"/>
  <c r="R19" i="30"/>
  <c r="O17" i="30"/>
  <c r="O18" i="30"/>
  <c r="O19" i="30"/>
  <c r="O16" i="30"/>
  <c r="T36" i="9" l="1"/>
  <c r="T37" i="9"/>
  <c r="T38" i="9"/>
  <c r="T39" i="9"/>
  <c r="T35" i="9"/>
  <c r="S36" i="9"/>
  <c r="S37" i="9"/>
  <c r="S38" i="9"/>
  <c r="S39" i="9"/>
  <c r="S35" i="9"/>
  <c r="O37" i="9"/>
  <c r="O36" i="9"/>
  <c r="Q36" i="9"/>
  <c r="Q37" i="9"/>
  <c r="Q38" i="9"/>
  <c r="Q39" i="9"/>
  <c r="Q35" i="9"/>
  <c r="O35" i="9"/>
  <c r="AL73" i="33" l="1"/>
  <c r="AK73" i="33"/>
  <c r="AJ73" i="33"/>
  <c r="AI73" i="33"/>
  <c r="AG73" i="33"/>
  <c r="AF73" i="33"/>
  <c r="AE73" i="33"/>
  <c r="AD73" i="33"/>
  <c r="AB73" i="33"/>
  <c r="AA73" i="33"/>
  <c r="Z73" i="33"/>
  <c r="Y73" i="33"/>
  <c r="W73" i="33"/>
  <c r="V73" i="33"/>
  <c r="U73" i="33"/>
  <c r="T73" i="33"/>
  <c r="E72" i="31"/>
  <c r="F72" i="31"/>
  <c r="G72" i="31"/>
  <c r="E73" i="31"/>
  <c r="F73" i="31"/>
  <c r="G73" i="31"/>
  <c r="E74" i="31"/>
  <c r="F74" i="31"/>
  <c r="G74" i="31"/>
  <c r="E75" i="31"/>
  <c r="F75" i="31"/>
  <c r="G75" i="31"/>
  <c r="D73" i="31"/>
  <c r="D74" i="31"/>
  <c r="D75" i="31"/>
  <c r="D72" i="31"/>
  <c r="E67" i="31"/>
  <c r="F67" i="31"/>
  <c r="G67" i="31"/>
  <c r="E68" i="31"/>
  <c r="F68" i="31"/>
  <c r="G68" i="31"/>
  <c r="E69" i="31"/>
  <c r="F69" i="31"/>
  <c r="G69" i="31"/>
  <c r="E70" i="31"/>
  <c r="F70" i="31"/>
  <c r="G70" i="31"/>
  <c r="D68" i="31"/>
  <c r="D69" i="31"/>
  <c r="D70" i="31"/>
  <c r="D67" i="31"/>
  <c r="R99" i="31"/>
  <c r="R100" i="31"/>
  <c r="R101" i="31"/>
  <c r="R98" i="31"/>
  <c r="Q99" i="31"/>
  <c r="Q100" i="31"/>
  <c r="Q101" i="31"/>
  <c r="Q98" i="31"/>
  <c r="P99" i="31"/>
  <c r="P100" i="31"/>
  <c r="P101" i="31"/>
  <c r="P98" i="31"/>
  <c r="O99" i="31"/>
  <c r="O100" i="31"/>
  <c r="O101" i="31"/>
  <c r="O98" i="31"/>
  <c r="R89" i="31"/>
  <c r="R90" i="31"/>
  <c r="R91" i="31"/>
  <c r="R88" i="31"/>
  <c r="Q89" i="31"/>
  <c r="Q90" i="31"/>
  <c r="Q91" i="31"/>
  <c r="Q88" i="31"/>
  <c r="P89" i="31"/>
  <c r="P90" i="31"/>
  <c r="P91" i="31"/>
  <c r="P88" i="31"/>
  <c r="O89" i="31"/>
  <c r="O90" i="31"/>
  <c r="O91" i="31"/>
  <c r="O88" i="31"/>
  <c r="R85" i="31"/>
  <c r="R86" i="31"/>
  <c r="R87" i="31"/>
  <c r="R84" i="31"/>
  <c r="Q85" i="31"/>
  <c r="Q86" i="31"/>
  <c r="Q87" i="31"/>
  <c r="Q84" i="31"/>
  <c r="P85" i="31"/>
  <c r="P86" i="31"/>
  <c r="P87" i="31"/>
  <c r="P84" i="31"/>
  <c r="O85" i="31"/>
  <c r="O86" i="31"/>
  <c r="O87" i="31"/>
  <c r="O84" i="31"/>
  <c r="R75" i="31"/>
  <c r="R76" i="31"/>
  <c r="R77" i="31"/>
  <c r="R74" i="31"/>
  <c r="Q75" i="31"/>
  <c r="Q76" i="31"/>
  <c r="Q77" i="31"/>
  <c r="Q74" i="31"/>
  <c r="P75" i="31"/>
  <c r="P76" i="31"/>
  <c r="P77" i="31"/>
  <c r="P74" i="31"/>
  <c r="O75" i="31"/>
  <c r="O76" i="31"/>
  <c r="O77" i="31"/>
  <c r="O74" i="31"/>
  <c r="R71" i="31"/>
  <c r="R72" i="31"/>
  <c r="R73" i="31"/>
  <c r="R70" i="31"/>
  <c r="Q71" i="31"/>
  <c r="Q72" i="31"/>
  <c r="Q73" i="31"/>
  <c r="Q70" i="31"/>
  <c r="P71" i="31"/>
  <c r="P72" i="31"/>
  <c r="P73" i="31"/>
  <c r="P70" i="31"/>
  <c r="O71" i="31"/>
  <c r="O72" i="31"/>
  <c r="O73" i="31"/>
  <c r="O70" i="31"/>
  <c r="AL73" i="32" l="1"/>
  <c r="AK73" i="32"/>
  <c r="AJ73" i="32"/>
  <c r="AI73" i="32"/>
  <c r="AG73" i="32"/>
  <c r="AF73" i="32"/>
  <c r="AE73" i="32"/>
  <c r="AD73" i="32"/>
  <c r="AB73" i="32"/>
  <c r="AA73" i="32"/>
  <c r="Z73" i="32"/>
  <c r="Y73" i="32"/>
  <c r="W73" i="32"/>
  <c r="V73" i="32"/>
  <c r="U73" i="32"/>
  <c r="T73" i="32"/>
  <c r="R89" i="30"/>
  <c r="R90" i="30"/>
  <c r="R91" i="30"/>
  <c r="R88" i="30"/>
  <c r="Q89" i="30"/>
  <c r="F73" i="30" s="1"/>
  <c r="Q90" i="30"/>
  <c r="Q91" i="30"/>
  <c r="Q88" i="30"/>
  <c r="F75" i="30"/>
  <c r="P89" i="30"/>
  <c r="P90" i="30"/>
  <c r="P91" i="30"/>
  <c r="P88" i="30"/>
  <c r="E67" i="30" s="1"/>
  <c r="R99" i="30"/>
  <c r="R100" i="30"/>
  <c r="R101" i="30"/>
  <c r="R98" i="30"/>
  <c r="Q99" i="30"/>
  <c r="Q100" i="30"/>
  <c r="Q101" i="30"/>
  <c r="Q98" i="30"/>
  <c r="P99" i="30"/>
  <c r="E73" i="30" s="1"/>
  <c r="P100" i="30"/>
  <c r="E69" i="30" s="1"/>
  <c r="P101" i="30"/>
  <c r="E75" i="30" s="1"/>
  <c r="P98" i="30"/>
  <c r="R99" i="13"/>
  <c r="R100" i="13"/>
  <c r="R101" i="13"/>
  <c r="G75" i="13" s="1"/>
  <c r="R98" i="13"/>
  <c r="Q99" i="13"/>
  <c r="Q100" i="13"/>
  <c r="Q101" i="13"/>
  <c r="Q98" i="13"/>
  <c r="P99" i="13"/>
  <c r="P100" i="13"/>
  <c r="P101" i="13"/>
  <c r="P98" i="13"/>
  <c r="O99" i="13"/>
  <c r="O100" i="13"/>
  <c r="O101" i="13"/>
  <c r="O98" i="13"/>
  <c r="R89" i="13"/>
  <c r="R90" i="13"/>
  <c r="R91" i="13"/>
  <c r="R88" i="13"/>
  <c r="Q89" i="13"/>
  <c r="Q90" i="13"/>
  <c r="Q91" i="13"/>
  <c r="Q88" i="13"/>
  <c r="P89" i="13"/>
  <c r="P90" i="13"/>
  <c r="P91" i="13"/>
  <c r="P88" i="13"/>
  <c r="O89" i="13"/>
  <c r="O90" i="13"/>
  <c r="O91" i="13"/>
  <c r="O88" i="13"/>
  <c r="R75" i="13"/>
  <c r="R76" i="13"/>
  <c r="R77" i="13"/>
  <c r="R74" i="13"/>
  <c r="Q75" i="13"/>
  <c r="Q76" i="13"/>
  <c r="Q77" i="13"/>
  <c r="Q74" i="13"/>
  <c r="P75" i="13"/>
  <c r="P76" i="13"/>
  <c r="P77" i="13"/>
  <c r="P74" i="13"/>
  <c r="O75" i="13"/>
  <c r="O76" i="13"/>
  <c r="O77" i="13"/>
  <c r="O74" i="13"/>
  <c r="E68" i="30"/>
  <c r="D68" i="30"/>
  <c r="D69" i="30"/>
  <c r="D70" i="30"/>
  <c r="D67" i="30"/>
  <c r="R75" i="30"/>
  <c r="R76" i="30"/>
  <c r="R77" i="30"/>
  <c r="R74" i="30"/>
  <c r="Q75" i="30"/>
  <c r="Q76" i="30"/>
  <c r="Q77" i="30"/>
  <c r="Q74" i="30"/>
  <c r="P75" i="30"/>
  <c r="P76" i="30"/>
  <c r="P77" i="30"/>
  <c r="P74" i="30"/>
  <c r="O75" i="30"/>
  <c r="O76" i="30"/>
  <c r="O77" i="30"/>
  <c r="O74" i="30"/>
  <c r="O89" i="30"/>
  <c r="O90" i="30"/>
  <c r="O91" i="30"/>
  <c r="O88" i="30"/>
  <c r="O98" i="30"/>
  <c r="O99" i="30"/>
  <c r="O100" i="30"/>
  <c r="D74" i="30" s="1"/>
  <c r="O101" i="30"/>
  <c r="N45" i="30"/>
  <c r="D73" i="13"/>
  <c r="D75" i="13"/>
  <c r="D72" i="13"/>
  <c r="R85" i="30"/>
  <c r="R86" i="30"/>
  <c r="R87" i="30"/>
  <c r="R84" i="30"/>
  <c r="Q85" i="30"/>
  <c r="Q86" i="30"/>
  <c r="Q87" i="30"/>
  <c r="Q84" i="30"/>
  <c r="P85" i="30"/>
  <c r="P86" i="30"/>
  <c r="P87" i="30"/>
  <c r="P84" i="30"/>
  <c r="O85" i="30"/>
  <c r="O86" i="30"/>
  <c r="O87" i="30"/>
  <c r="O84" i="30"/>
  <c r="R85" i="13"/>
  <c r="R86" i="13"/>
  <c r="R87" i="13"/>
  <c r="R84" i="13"/>
  <c r="Q85" i="13"/>
  <c r="Q86" i="13"/>
  <c r="Q87" i="13"/>
  <c r="Q84" i="13"/>
  <c r="E73" i="13"/>
  <c r="P85" i="13"/>
  <c r="P86" i="13"/>
  <c r="P87" i="13"/>
  <c r="P84" i="13"/>
  <c r="O85" i="13"/>
  <c r="O86" i="13"/>
  <c r="O87" i="13"/>
  <c r="O84" i="13"/>
  <c r="R71" i="30"/>
  <c r="R72" i="30"/>
  <c r="R73" i="30"/>
  <c r="R70" i="30"/>
  <c r="Q71" i="30"/>
  <c r="Q72" i="30"/>
  <c r="Q73" i="30"/>
  <c r="Q70" i="30"/>
  <c r="P71" i="30"/>
  <c r="P72" i="30"/>
  <c r="P73" i="30"/>
  <c r="P70" i="30"/>
  <c r="O71" i="30"/>
  <c r="O72" i="30"/>
  <c r="O73" i="30"/>
  <c r="O70" i="30"/>
  <c r="AK73" i="15"/>
  <c r="AJ73" i="15"/>
  <c r="AI73" i="15"/>
  <c r="AF73" i="15"/>
  <c r="AE73" i="15"/>
  <c r="AD73" i="15"/>
  <c r="Q23" i="34"/>
  <c r="S23" i="34"/>
  <c r="S22" i="34"/>
  <c r="S21" i="34"/>
  <c r="Q21" i="34"/>
  <c r="S20" i="34"/>
  <c r="Q24" i="34"/>
  <c r="Q22" i="34"/>
  <c r="Q20" i="34"/>
  <c r="AL73" i="15"/>
  <c r="AG73" i="15"/>
  <c r="AB73" i="15"/>
  <c r="AA73" i="15"/>
  <c r="Z73" i="15"/>
  <c r="Y73" i="15"/>
  <c r="W73" i="15"/>
  <c r="V73" i="15"/>
  <c r="U73" i="15"/>
  <c r="T73" i="15"/>
  <c r="G69" i="30" l="1"/>
  <c r="G68" i="30"/>
  <c r="G70" i="30"/>
  <c r="G67" i="30"/>
  <c r="F70" i="30"/>
  <c r="F68" i="30"/>
  <c r="F74" i="30"/>
  <c r="F67" i="30"/>
  <c r="E72" i="30"/>
  <c r="G74" i="30"/>
  <c r="G75" i="30"/>
  <c r="G73" i="30"/>
  <c r="G72" i="30"/>
  <c r="F69" i="30"/>
  <c r="F72" i="30"/>
  <c r="E74" i="30"/>
  <c r="E70" i="30"/>
  <c r="F75" i="13"/>
  <c r="E74" i="13"/>
  <c r="E67" i="13"/>
  <c r="F72" i="13"/>
  <c r="E75" i="13"/>
  <c r="D74" i="13"/>
  <c r="E72" i="13"/>
  <c r="F74" i="13"/>
  <c r="G74" i="13"/>
  <c r="G73" i="13"/>
  <c r="F73" i="13"/>
  <c r="G67" i="13"/>
  <c r="D69" i="13"/>
  <c r="D67" i="13"/>
  <c r="D75" i="30"/>
  <c r="D73" i="30"/>
  <c r="D72" i="30"/>
  <c r="G70" i="13"/>
  <c r="G69" i="13"/>
  <c r="G68" i="13"/>
  <c r="G72" i="13"/>
  <c r="F70" i="13"/>
  <c r="F69" i="13"/>
  <c r="F68" i="13"/>
  <c r="F67" i="13"/>
  <c r="E70" i="13"/>
  <c r="E68" i="13"/>
  <c r="E69" i="13"/>
  <c r="D70" i="13"/>
  <c r="D68" i="13"/>
  <c r="AD230" i="33" l="1"/>
  <c r="AG230" i="33"/>
  <c r="AF230" i="33"/>
  <c r="AE230" i="33"/>
  <c r="AF203" i="33"/>
  <c r="AD203" i="33"/>
  <c r="AG203" i="33"/>
  <c r="AE203" i="33"/>
  <c r="AF175" i="33"/>
  <c r="AG175" i="33"/>
  <c r="AE175" i="33"/>
  <c r="AD175" i="33"/>
  <c r="AG147" i="33"/>
  <c r="AF147" i="33"/>
  <c r="AE147" i="33"/>
  <c r="AD147" i="33"/>
  <c r="M131" i="33"/>
  <c r="L131" i="33"/>
  <c r="K131" i="33"/>
  <c r="J131" i="33"/>
  <c r="M130" i="33"/>
  <c r="L130" i="33"/>
  <c r="K130" i="33"/>
  <c r="J130" i="33"/>
  <c r="M129" i="33"/>
  <c r="L129" i="33"/>
  <c r="K129" i="33"/>
  <c r="J129" i="33"/>
  <c r="M128" i="33"/>
  <c r="L128" i="33"/>
  <c r="K128" i="33"/>
  <c r="J128" i="33"/>
  <c r="M127" i="33"/>
  <c r="L127" i="33"/>
  <c r="K127" i="33"/>
  <c r="J127" i="33"/>
  <c r="M126" i="33"/>
  <c r="L126" i="33"/>
  <c r="K126" i="33"/>
  <c r="J126" i="33"/>
  <c r="M125" i="33"/>
  <c r="L125" i="33"/>
  <c r="K125" i="33"/>
  <c r="J125" i="33"/>
  <c r="M124" i="33"/>
  <c r="L124" i="33"/>
  <c r="K124" i="33"/>
  <c r="J124" i="33"/>
  <c r="M123" i="33"/>
  <c r="L123" i="33"/>
  <c r="K123" i="33"/>
  <c r="J123" i="33"/>
  <c r="M122" i="33"/>
  <c r="L122" i="33"/>
  <c r="K122" i="33"/>
  <c r="J122" i="33"/>
  <c r="M121" i="33"/>
  <c r="L121" i="33"/>
  <c r="K121" i="33"/>
  <c r="J121" i="33"/>
  <c r="M120" i="33"/>
  <c r="L120" i="33"/>
  <c r="K120" i="33"/>
  <c r="J120" i="33"/>
  <c r="M119" i="33"/>
  <c r="L119" i="33"/>
  <c r="K119" i="33"/>
  <c r="J119" i="33"/>
  <c r="M118" i="33"/>
  <c r="L118" i="33"/>
  <c r="K118" i="33"/>
  <c r="J118" i="33"/>
  <c r="M117" i="33"/>
  <c r="L117" i="33"/>
  <c r="K117" i="33"/>
  <c r="J117" i="33"/>
  <c r="M116" i="33"/>
  <c r="L116" i="33"/>
  <c r="K116" i="33"/>
  <c r="J116" i="33"/>
  <c r="M115" i="33"/>
  <c r="L115" i="33"/>
  <c r="K115" i="33"/>
  <c r="J115" i="33"/>
  <c r="M114" i="33"/>
  <c r="L114" i="33"/>
  <c r="K114" i="33"/>
  <c r="J114" i="33"/>
  <c r="M113" i="33"/>
  <c r="L113" i="33"/>
  <c r="K113" i="33"/>
  <c r="J113" i="33"/>
  <c r="M112" i="33"/>
  <c r="L112" i="33"/>
  <c r="K112" i="33"/>
  <c r="J112" i="33"/>
  <c r="M111" i="33"/>
  <c r="L111" i="33"/>
  <c r="K111" i="33"/>
  <c r="J111" i="33"/>
  <c r="M110" i="33"/>
  <c r="L110" i="33"/>
  <c r="K110" i="33"/>
  <c r="J110" i="33"/>
  <c r="M109" i="33"/>
  <c r="L109" i="33"/>
  <c r="K109" i="33"/>
  <c r="J109" i="33"/>
  <c r="M108" i="33"/>
  <c r="L108" i="33"/>
  <c r="K108" i="33"/>
  <c r="J108" i="33"/>
  <c r="M97" i="33"/>
  <c r="L97" i="33"/>
  <c r="K97" i="33"/>
  <c r="J97" i="33"/>
  <c r="H97" i="33"/>
  <c r="G97" i="33"/>
  <c r="F97" i="33"/>
  <c r="P131" i="33" s="1"/>
  <c r="E97" i="33"/>
  <c r="M96" i="33"/>
  <c r="L96" i="33"/>
  <c r="K96" i="33"/>
  <c r="J96" i="33"/>
  <c r="H96" i="33"/>
  <c r="G96" i="33"/>
  <c r="Q96" i="33" s="1"/>
  <c r="F96" i="33"/>
  <c r="E96" i="33"/>
  <c r="M95" i="33"/>
  <c r="L95" i="33"/>
  <c r="Q95" i="33" s="1"/>
  <c r="AA95" i="33" s="1"/>
  <c r="K95" i="33"/>
  <c r="J95" i="33"/>
  <c r="M94" i="33"/>
  <c r="R94" i="33" s="1"/>
  <c r="L94" i="33"/>
  <c r="K94" i="33"/>
  <c r="J94" i="33"/>
  <c r="M93" i="33"/>
  <c r="L93" i="33"/>
  <c r="Q93" i="33" s="1"/>
  <c r="K93" i="33"/>
  <c r="J93" i="33"/>
  <c r="H93" i="33"/>
  <c r="G93" i="33"/>
  <c r="F93" i="33"/>
  <c r="E93" i="33"/>
  <c r="M92" i="33"/>
  <c r="L92" i="33"/>
  <c r="K92" i="33"/>
  <c r="P92" i="33" s="1"/>
  <c r="Z92" i="33" s="1"/>
  <c r="J92" i="33"/>
  <c r="H92" i="33"/>
  <c r="G92" i="33"/>
  <c r="F92" i="33"/>
  <c r="E92" i="33"/>
  <c r="M91" i="33"/>
  <c r="L91" i="33"/>
  <c r="Q91" i="33" s="1"/>
  <c r="K91" i="33"/>
  <c r="J91" i="33"/>
  <c r="M90" i="33"/>
  <c r="L90" i="33"/>
  <c r="Q90" i="33" s="1"/>
  <c r="K90" i="33"/>
  <c r="J90" i="33"/>
  <c r="M89" i="33"/>
  <c r="R89" i="33" s="1"/>
  <c r="L89" i="33"/>
  <c r="Q89" i="33" s="1"/>
  <c r="AA89" i="33" s="1"/>
  <c r="K89" i="33"/>
  <c r="J89" i="33"/>
  <c r="H89" i="33"/>
  <c r="G89" i="33"/>
  <c r="F89" i="33"/>
  <c r="E89" i="33"/>
  <c r="M88" i="33"/>
  <c r="L88" i="33"/>
  <c r="K88" i="33"/>
  <c r="P88" i="33" s="1"/>
  <c r="J88" i="33"/>
  <c r="H88" i="33"/>
  <c r="G88" i="33"/>
  <c r="F88" i="33"/>
  <c r="E88" i="33"/>
  <c r="M87" i="33"/>
  <c r="R87" i="33" s="1"/>
  <c r="AB87" i="33" s="1"/>
  <c r="L87" i="33"/>
  <c r="Q87" i="33" s="1"/>
  <c r="AA87" i="33" s="1"/>
  <c r="K87" i="33"/>
  <c r="P87" i="33" s="1"/>
  <c r="U87" i="33" s="1"/>
  <c r="J87" i="33"/>
  <c r="M86" i="33"/>
  <c r="R86" i="33" s="1"/>
  <c r="L86" i="33"/>
  <c r="Q86" i="33" s="1"/>
  <c r="K86" i="33"/>
  <c r="P86" i="33" s="1"/>
  <c r="J86" i="33"/>
  <c r="O86" i="33" s="1"/>
  <c r="M85" i="33"/>
  <c r="R85" i="33" s="1"/>
  <c r="AB85" i="33" s="1"/>
  <c r="L85" i="33"/>
  <c r="K85" i="33"/>
  <c r="J85" i="33"/>
  <c r="H85" i="33"/>
  <c r="G85" i="33"/>
  <c r="F85" i="33"/>
  <c r="E85" i="33"/>
  <c r="M84" i="33"/>
  <c r="L84" i="33"/>
  <c r="K84" i="33"/>
  <c r="J84" i="33"/>
  <c r="H84" i="33"/>
  <c r="G84" i="33"/>
  <c r="F84" i="33"/>
  <c r="E84" i="33"/>
  <c r="O84" i="33" s="1"/>
  <c r="M83" i="33"/>
  <c r="L83" i="33"/>
  <c r="Q83" i="33" s="1"/>
  <c r="K83" i="33"/>
  <c r="J83" i="33"/>
  <c r="M82" i="33"/>
  <c r="R82" i="33" s="1"/>
  <c r="L82" i="33"/>
  <c r="Q82" i="33" s="1"/>
  <c r="K82" i="33"/>
  <c r="J82" i="33"/>
  <c r="M81" i="33"/>
  <c r="R81" i="33" s="1"/>
  <c r="L81" i="33"/>
  <c r="K81" i="33"/>
  <c r="J81" i="33"/>
  <c r="H81" i="33"/>
  <c r="G81" i="33"/>
  <c r="Q112" i="33" s="1"/>
  <c r="F81" i="33"/>
  <c r="E81" i="33"/>
  <c r="M80" i="33"/>
  <c r="L80" i="33"/>
  <c r="K80" i="33"/>
  <c r="J80" i="33"/>
  <c r="H80" i="33"/>
  <c r="G80" i="33"/>
  <c r="F80" i="33"/>
  <c r="E80" i="33"/>
  <c r="M79" i="33"/>
  <c r="R79" i="33" s="1"/>
  <c r="L79" i="33"/>
  <c r="K79" i="33"/>
  <c r="J79" i="33"/>
  <c r="O79" i="33" s="1"/>
  <c r="M78" i="33"/>
  <c r="R78" i="33" s="1"/>
  <c r="L78" i="33"/>
  <c r="K78" i="33"/>
  <c r="J78" i="33"/>
  <c r="M77" i="33"/>
  <c r="L77" i="33"/>
  <c r="K77" i="33"/>
  <c r="J77" i="33"/>
  <c r="H77" i="33"/>
  <c r="R111" i="33" s="1"/>
  <c r="G77" i="33"/>
  <c r="F77" i="33"/>
  <c r="E77" i="33"/>
  <c r="M76" i="33"/>
  <c r="L76" i="33"/>
  <c r="K76" i="33"/>
  <c r="J76" i="33"/>
  <c r="H76" i="33"/>
  <c r="G76" i="33"/>
  <c r="F76" i="33"/>
  <c r="E76" i="33"/>
  <c r="M75" i="33"/>
  <c r="L75" i="33"/>
  <c r="K75" i="33"/>
  <c r="P75" i="33" s="1"/>
  <c r="J75" i="33"/>
  <c r="O75" i="33" s="1"/>
  <c r="M74" i="33"/>
  <c r="L74" i="33"/>
  <c r="K74" i="33"/>
  <c r="J74" i="33"/>
  <c r="O74" i="33" s="1"/>
  <c r="T74" i="33" s="1"/>
  <c r="K60" i="33"/>
  <c r="J60" i="33"/>
  <c r="I60" i="33"/>
  <c r="H60" i="33"/>
  <c r="K59" i="33"/>
  <c r="J59" i="33"/>
  <c r="I59" i="33"/>
  <c r="H59" i="33"/>
  <c r="K58" i="33"/>
  <c r="J58" i="33"/>
  <c r="I58" i="33"/>
  <c r="H58" i="33"/>
  <c r="J44" i="33"/>
  <c r="I44" i="33"/>
  <c r="H44" i="33"/>
  <c r="G44" i="33"/>
  <c r="J43" i="33"/>
  <c r="I43" i="33"/>
  <c r="H43" i="33"/>
  <c r="G43" i="33"/>
  <c r="J42" i="33"/>
  <c r="I42" i="33"/>
  <c r="H42" i="33"/>
  <c r="G42" i="33"/>
  <c r="J41" i="33"/>
  <c r="I41" i="33"/>
  <c r="H41" i="33"/>
  <c r="G41" i="33"/>
  <c r="J39" i="33"/>
  <c r="I39" i="33"/>
  <c r="H39" i="33"/>
  <c r="G39" i="33"/>
  <c r="J38" i="33"/>
  <c r="I38" i="33"/>
  <c r="H38" i="33"/>
  <c r="G38" i="33"/>
  <c r="J37" i="33"/>
  <c r="I37" i="33"/>
  <c r="H37" i="33"/>
  <c r="G37" i="33"/>
  <c r="J36" i="33"/>
  <c r="I36" i="33"/>
  <c r="H36" i="33"/>
  <c r="G36" i="33"/>
  <c r="J34" i="33"/>
  <c r="I34" i="33"/>
  <c r="H34" i="33"/>
  <c r="G34" i="33"/>
  <c r="J33" i="33"/>
  <c r="I33" i="33"/>
  <c r="H33" i="33"/>
  <c r="G33" i="33"/>
  <c r="J32" i="33"/>
  <c r="I32" i="33"/>
  <c r="H32" i="33"/>
  <c r="G32" i="33"/>
  <c r="J31" i="33"/>
  <c r="I31" i="33"/>
  <c r="H31" i="33"/>
  <c r="G31" i="33"/>
  <c r="O29" i="33"/>
  <c r="N29" i="33"/>
  <c r="M29" i="33"/>
  <c r="L29" i="33"/>
  <c r="J29" i="33"/>
  <c r="I29" i="33"/>
  <c r="H29" i="33"/>
  <c r="G29" i="33"/>
  <c r="J28" i="33"/>
  <c r="I28" i="33"/>
  <c r="H28" i="33"/>
  <c r="G28" i="33"/>
  <c r="J27" i="33"/>
  <c r="I27" i="33"/>
  <c r="H27" i="33"/>
  <c r="G27" i="33"/>
  <c r="O179" i="30"/>
  <c r="O174" i="30"/>
  <c r="R76" i="33" l="1"/>
  <c r="R233" i="33" s="1"/>
  <c r="R80" i="33"/>
  <c r="W80" i="33" s="1"/>
  <c r="R83" i="33"/>
  <c r="AB83" i="33" s="1"/>
  <c r="Q88" i="33"/>
  <c r="V88" i="33" s="1"/>
  <c r="O95" i="33"/>
  <c r="P96" i="33"/>
  <c r="P253" i="33" s="1"/>
  <c r="P85" i="33"/>
  <c r="Q76" i="33"/>
  <c r="Q206" i="33" s="1"/>
  <c r="Q80" i="33"/>
  <c r="Q210" i="33" s="1"/>
  <c r="Q85" i="33"/>
  <c r="O108" i="33"/>
  <c r="Y108" i="33" s="1"/>
  <c r="V91" i="33"/>
  <c r="O90" i="33"/>
  <c r="Y90" i="33" s="1"/>
  <c r="R96" i="33"/>
  <c r="R226" i="33" s="1"/>
  <c r="O76" i="33"/>
  <c r="Z87" i="33"/>
  <c r="P76" i="33"/>
  <c r="P206" i="33" s="1"/>
  <c r="O81" i="33"/>
  <c r="O88" i="33"/>
  <c r="T88" i="33" s="1"/>
  <c r="R92" i="33"/>
  <c r="AG92" i="33" s="1"/>
  <c r="Q110" i="33"/>
  <c r="V110" i="33" s="1"/>
  <c r="P81" i="33"/>
  <c r="P211" i="33" s="1"/>
  <c r="P89" i="33"/>
  <c r="Q77" i="33"/>
  <c r="Q234" i="33" s="1"/>
  <c r="R90" i="33"/>
  <c r="R220" i="33" s="1"/>
  <c r="O82" i="33"/>
  <c r="O94" i="33"/>
  <c r="O251" i="33" s="1"/>
  <c r="P82" i="33"/>
  <c r="P239" i="33" s="1"/>
  <c r="O93" i="33"/>
  <c r="O250" i="33" s="1"/>
  <c r="Q94" i="33"/>
  <c r="Q224" i="33" s="1"/>
  <c r="R95" i="33"/>
  <c r="R225" i="33" s="1"/>
  <c r="Y95" i="33"/>
  <c r="AA88" i="33"/>
  <c r="P74" i="33"/>
  <c r="Z74" i="33" s="1"/>
  <c r="Q75" i="33"/>
  <c r="O78" i="33"/>
  <c r="Y78" i="33" s="1"/>
  <c r="P79" i="33"/>
  <c r="P209" i="33" s="1"/>
  <c r="O91" i="33"/>
  <c r="Y91" i="33" s="1"/>
  <c r="Q97" i="33"/>
  <c r="AA97" i="33" s="1"/>
  <c r="R93" i="33"/>
  <c r="AB93" i="33" s="1"/>
  <c r="O97" i="33"/>
  <c r="Y97" i="33" s="1"/>
  <c r="Q74" i="33"/>
  <c r="O77" i="33"/>
  <c r="Y77" i="33" s="1"/>
  <c r="P78" i="33"/>
  <c r="U78" i="33" s="1"/>
  <c r="Q79" i="33"/>
  <c r="Q209" i="33" s="1"/>
  <c r="O87" i="33"/>
  <c r="Y87" i="33" s="1"/>
  <c r="R97" i="33"/>
  <c r="P77" i="33"/>
  <c r="Z77" i="33" s="1"/>
  <c r="Q78" i="33"/>
  <c r="AA78" i="33" s="1"/>
  <c r="Q81" i="33"/>
  <c r="AA81" i="33" s="1"/>
  <c r="O85" i="33"/>
  <c r="O242" i="33" s="1"/>
  <c r="O89" i="33"/>
  <c r="O219" i="33" s="1"/>
  <c r="R91" i="33"/>
  <c r="AB91" i="33" s="1"/>
  <c r="V80" i="33"/>
  <c r="Q180" i="33"/>
  <c r="Q152" i="33"/>
  <c r="V112" i="33"/>
  <c r="AF112" i="33"/>
  <c r="AA112" i="33"/>
  <c r="O239" i="33"/>
  <c r="O212" i="33"/>
  <c r="T82" i="33"/>
  <c r="AD82" i="33"/>
  <c r="Y82" i="33"/>
  <c r="Q212" i="33"/>
  <c r="Q239" i="33"/>
  <c r="AA82" i="33"/>
  <c r="V82" i="33"/>
  <c r="AD88" i="33"/>
  <c r="Q215" i="33"/>
  <c r="Q242" i="33"/>
  <c r="AA85" i="33"/>
  <c r="V85" i="33"/>
  <c r="P216" i="33"/>
  <c r="P243" i="33"/>
  <c r="U86" i="33"/>
  <c r="Z86" i="33"/>
  <c r="P226" i="33"/>
  <c r="O241" i="33"/>
  <c r="O214" i="33"/>
  <c r="T84" i="33"/>
  <c r="AD84" i="33"/>
  <c r="Y84" i="33"/>
  <c r="R235" i="33"/>
  <c r="R208" i="33"/>
  <c r="AG78" i="33"/>
  <c r="W78" i="33"/>
  <c r="AB78" i="33"/>
  <c r="O233" i="33"/>
  <c r="O206" i="33"/>
  <c r="Y76" i="33"/>
  <c r="T76" i="33"/>
  <c r="O176" i="33"/>
  <c r="O148" i="33"/>
  <c r="AD108" i="33"/>
  <c r="T108" i="33"/>
  <c r="Q216" i="33"/>
  <c r="Q243" i="33"/>
  <c r="V86" i="33"/>
  <c r="AA86" i="33"/>
  <c r="R236" i="33"/>
  <c r="R209" i="33"/>
  <c r="AG79" i="33"/>
  <c r="W79" i="33"/>
  <c r="AB79" i="33"/>
  <c r="P215" i="33"/>
  <c r="P242" i="33"/>
  <c r="Z85" i="33"/>
  <c r="U85" i="33"/>
  <c r="O238" i="33"/>
  <c r="O211" i="33"/>
  <c r="Y81" i="33"/>
  <c r="T81" i="33"/>
  <c r="Q233" i="33"/>
  <c r="AA76" i="33"/>
  <c r="V76" i="33"/>
  <c r="Q213" i="33"/>
  <c r="Q240" i="33"/>
  <c r="V83" i="33"/>
  <c r="AA83" i="33"/>
  <c r="Y79" i="33"/>
  <c r="Q220" i="33"/>
  <c r="Q247" i="33"/>
  <c r="R127" i="33"/>
  <c r="R126" i="33"/>
  <c r="R125" i="33"/>
  <c r="R124" i="33"/>
  <c r="AJ77" i="33"/>
  <c r="P231" i="33"/>
  <c r="P204" i="33"/>
  <c r="P232" i="33"/>
  <c r="P205" i="33"/>
  <c r="Z75" i="33"/>
  <c r="P111" i="33"/>
  <c r="P110" i="33"/>
  <c r="P109" i="33"/>
  <c r="P108" i="33"/>
  <c r="Z78" i="33"/>
  <c r="AG80" i="33"/>
  <c r="O83" i="33"/>
  <c r="Y86" i="33"/>
  <c r="P217" i="33"/>
  <c r="P244" i="33"/>
  <c r="P219" i="33"/>
  <c r="P246" i="33"/>
  <c r="Z89" i="33"/>
  <c r="Q218" i="33"/>
  <c r="Q245" i="33"/>
  <c r="R123" i="33"/>
  <c r="R122" i="33"/>
  <c r="R121" i="33"/>
  <c r="R120" i="33"/>
  <c r="U89" i="33"/>
  <c r="Q221" i="33"/>
  <c r="Q248" i="33"/>
  <c r="AB95" i="33"/>
  <c r="Q131" i="33"/>
  <c r="Q130" i="33"/>
  <c r="Q129" i="33"/>
  <c r="Q128" i="33"/>
  <c r="R227" i="33"/>
  <c r="R254" i="33"/>
  <c r="AG97" i="33"/>
  <c r="W97" i="33"/>
  <c r="O109" i="33"/>
  <c r="R238" i="33"/>
  <c r="R211" i="33"/>
  <c r="AG81" i="33"/>
  <c r="W81" i="33"/>
  <c r="R246" i="33"/>
  <c r="R219" i="33"/>
  <c r="AG89" i="33"/>
  <c r="W89" i="33"/>
  <c r="Q231" i="33"/>
  <c r="Q204" i="33"/>
  <c r="AA74" i="33"/>
  <c r="Q232" i="33"/>
  <c r="Q205" i="33"/>
  <c r="Q178" i="33"/>
  <c r="Q150" i="33"/>
  <c r="AA77" i="33"/>
  <c r="Q236" i="33"/>
  <c r="P83" i="33"/>
  <c r="O243" i="33"/>
  <c r="O216" i="33"/>
  <c r="Q217" i="33"/>
  <c r="Q244" i="33"/>
  <c r="V89" i="33"/>
  <c r="R221" i="33"/>
  <c r="AG91" i="33"/>
  <c r="W91" i="33"/>
  <c r="AA93" i="33"/>
  <c r="AB94" i="33"/>
  <c r="R129" i="33"/>
  <c r="R130" i="33"/>
  <c r="R131" i="33"/>
  <c r="R128" i="33"/>
  <c r="Q109" i="33"/>
  <c r="Q111" i="33"/>
  <c r="P218" i="33"/>
  <c r="P245" i="33"/>
  <c r="V96" i="33"/>
  <c r="AL89" i="33"/>
  <c r="R74" i="33"/>
  <c r="R75" i="33"/>
  <c r="R179" i="33"/>
  <c r="R151" i="33"/>
  <c r="AG111" i="33"/>
  <c r="R77" i="33"/>
  <c r="V81" i="33"/>
  <c r="R244" i="33"/>
  <c r="R217" i="33"/>
  <c r="AG87" i="33"/>
  <c r="W87" i="33"/>
  <c r="R88" i="33"/>
  <c r="U88" i="33"/>
  <c r="V90" i="33"/>
  <c r="O252" i="33"/>
  <c r="O225" i="33"/>
  <c r="T95" i="33"/>
  <c r="Q108" i="33"/>
  <c r="R109" i="33"/>
  <c r="O232" i="33"/>
  <c r="O205" i="33"/>
  <c r="T91" i="33"/>
  <c r="T79" i="33"/>
  <c r="O80" i="33"/>
  <c r="R240" i="33"/>
  <c r="R213" i="33"/>
  <c r="AG83" i="33"/>
  <c r="W83" i="33"/>
  <c r="P84" i="33"/>
  <c r="O119" i="33"/>
  <c r="O118" i="33"/>
  <c r="O117" i="33"/>
  <c r="O116" i="33"/>
  <c r="AB86" i="33"/>
  <c r="O92" i="33"/>
  <c r="P222" i="33"/>
  <c r="P249" i="33"/>
  <c r="U92" i="33"/>
  <c r="O224" i="33"/>
  <c r="T94" i="33"/>
  <c r="Q225" i="33"/>
  <c r="Q252" i="33"/>
  <c r="V95" i="33"/>
  <c r="R108" i="33"/>
  <c r="W111" i="33"/>
  <c r="AI76" i="33"/>
  <c r="Y75" i="33"/>
  <c r="O111" i="33"/>
  <c r="O110" i="33"/>
  <c r="O236" i="33"/>
  <c r="O209" i="33"/>
  <c r="O217" i="33"/>
  <c r="Q226" i="33"/>
  <c r="Q253" i="33"/>
  <c r="AA96" i="33"/>
  <c r="T75" i="33"/>
  <c r="AE88" i="33"/>
  <c r="U74" i="33"/>
  <c r="U75" i="33"/>
  <c r="U77" i="33"/>
  <c r="P80" i="33"/>
  <c r="O115" i="33"/>
  <c r="O114" i="33"/>
  <c r="O113" i="33"/>
  <c r="O112" i="33"/>
  <c r="AB82" i="33"/>
  <c r="Q84" i="33"/>
  <c r="P119" i="33"/>
  <c r="P118" i="33"/>
  <c r="P117" i="33"/>
  <c r="P116" i="33"/>
  <c r="AL85" i="33"/>
  <c r="R216" i="33"/>
  <c r="R243" i="33"/>
  <c r="AG86" i="33"/>
  <c r="W86" i="33"/>
  <c r="V87" i="33"/>
  <c r="AB89" i="33"/>
  <c r="AA90" i="33"/>
  <c r="P93" i="33"/>
  <c r="P91" i="33"/>
  <c r="P90" i="33"/>
  <c r="O127" i="33"/>
  <c r="O126" i="33"/>
  <c r="O125" i="33"/>
  <c r="O124" i="33"/>
  <c r="AG95" i="33"/>
  <c r="W95" i="33"/>
  <c r="AB97" i="33"/>
  <c r="AB111" i="33"/>
  <c r="O231" i="33"/>
  <c r="O204" i="33"/>
  <c r="AI75" i="33"/>
  <c r="Q123" i="33"/>
  <c r="Q122" i="33"/>
  <c r="Q121" i="33"/>
  <c r="Q120" i="33"/>
  <c r="AF87" i="33"/>
  <c r="V74" i="33"/>
  <c r="V75" i="33"/>
  <c r="V79" i="33"/>
  <c r="P115" i="33"/>
  <c r="P114" i="33"/>
  <c r="P113" i="33"/>
  <c r="P112" i="33"/>
  <c r="R212" i="33"/>
  <c r="R239" i="33"/>
  <c r="AG82" i="33"/>
  <c r="W82" i="33"/>
  <c r="R84" i="33"/>
  <c r="Q119" i="33"/>
  <c r="Q118" i="33"/>
  <c r="Q117" i="33"/>
  <c r="Q116" i="33"/>
  <c r="T86" i="33"/>
  <c r="Z88" i="33"/>
  <c r="O123" i="33"/>
  <c r="O122" i="33"/>
  <c r="O121" i="33"/>
  <c r="O120" i="33"/>
  <c r="O246" i="33"/>
  <c r="AA91" i="33"/>
  <c r="Q92" i="33"/>
  <c r="Q223" i="33"/>
  <c r="Q250" i="33"/>
  <c r="V93" i="33"/>
  <c r="R224" i="33"/>
  <c r="R251" i="33"/>
  <c r="AG94" i="33"/>
  <c r="W94" i="33"/>
  <c r="O96" i="33"/>
  <c r="R110" i="33"/>
  <c r="Y74" i="33"/>
  <c r="O208" i="33"/>
  <c r="R115" i="33"/>
  <c r="R114" i="33"/>
  <c r="R113" i="33"/>
  <c r="R112" i="33"/>
  <c r="O245" i="33"/>
  <c r="O218" i="33"/>
  <c r="Y88" i="33"/>
  <c r="Q254" i="33"/>
  <c r="R210" i="33"/>
  <c r="R237" i="33"/>
  <c r="AB80" i="33"/>
  <c r="Q115" i="33"/>
  <c r="Q114" i="33"/>
  <c r="Q113" i="33"/>
  <c r="Q211" i="33"/>
  <c r="Q238" i="33"/>
  <c r="AB81" i="33"/>
  <c r="R119" i="33"/>
  <c r="R118" i="33"/>
  <c r="R117" i="33"/>
  <c r="R116" i="33"/>
  <c r="R242" i="33"/>
  <c r="R215" i="33"/>
  <c r="AG85" i="33"/>
  <c r="W85" i="33"/>
  <c r="P123" i="33"/>
  <c r="P122" i="33"/>
  <c r="P121" i="33"/>
  <c r="P120" i="33"/>
  <c r="Q219" i="33"/>
  <c r="Q246" i="33"/>
  <c r="O247" i="33"/>
  <c r="O220" i="33"/>
  <c r="T90" i="33"/>
  <c r="R222" i="33"/>
  <c r="AB92" i="33"/>
  <c r="W92" i="33"/>
  <c r="Q127" i="33"/>
  <c r="Q126" i="33"/>
  <c r="Q125" i="33"/>
  <c r="Q124" i="33"/>
  <c r="R250" i="33"/>
  <c r="AG93" i="33"/>
  <c r="P97" i="33"/>
  <c r="P95" i="33"/>
  <c r="P94" i="33"/>
  <c r="O130" i="33"/>
  <c r="O128" i="33"/>
  <c r="O131" i="33"/>
  <c r="O129" i="33"/>
  <c r="P199" i="33"/>
  <c r="P171" i="33"/>
  <c r="AE131" i="33"/>
  <c r="U131" i="33"/>
  <c r="P127" i="33"/>
  <c r="P126" i="33"/>
  <c r="P125" i="33"/>
  <c r="P124" i="33"/>
  <c r="P128" i="33"/>
  <c r="P129" i="33"/>
  <c r="P130" i="33"/>
  <c r="Z131" i="33"/>
  <c r="AG230" i="32"/>
  <c r="AE230" i="32"/>
  <c r="AF230" i="32"/>
  <c r="AD230" i="32"/>
  <c r="AG203" i="32"/>
  <c r="AE203" i="32"/>
  <c r="AF203" i="32"/>
  <c r="AD203" i="32"/>
  <c r="AG175" i="32"/>
  <c r="AF175" i="32"/>
  <c r="AE175" i="32"/>
  <c r="AD175" i="32"/>
  <c r="AG147" i="32"/>
  <c r="AF147" i="32"/>
  <c r="AE147" i="32"/>
  <c r="AD147" i="32"/>
  <c r="M131" i="32"/>
  <c r="L131" i="32"/>
  <c r="K131" i="32"/>
  <c r="J131" i="32"/>
  <c r="M130" i="32"/>
  <c r="L130" i="32"/>
  <c r="K130" i="32"/>
  <c r="J130" i="32"/>
  <c r="M129" i="32"/>
  <c r="L129" i="32"/>
  <c r="K129" i="32"/>
  <c r="J129" i="32"/>
  <c r="M128" i="32"/>
  <c r="L128" i="32"/>
  <c r="K128" i="32"/>
  <c r="J128" i="32"/>
  <c r="M127" i="32"/>
  <c r="L127" i="32"/>
  <c r="K127" i="32"/>
  <c r="J127" i="32"/>
  <c r="M126" i="32"/>
  <c r="L126" i="32"/>
  <c r="K126" i="32"/>
  <c r="J126" i="32"/>
  <c r="M125" i="32"/>
  <c r="L125" i="32"/>
  <c r="Q125" i="32" s="1"/>
  <c r="Q165" i="32" s="1"/>
  <c r="K125" i="32"/>
  <c r="J125" i="32"/>
  <c r="O125" i="32" s="1"/>
  <c r="M124" i="32"/>
  <c r="L124" i="32"/>
  <c r="K124" i="32"/>
  <c r="J124" i="32"/>
  <c r="M123" i="32"/>
  <c r="L123" i="32"/>
  <c r="K123" i="32"/>
  <c r="J123" i="32"/>
  <c r="M122" i="32"/>
  <c r="L122" i="32"/>
  <c r="K122" i="32"/>
  <c r="J122" i="32"/>
  <c r="M121" i="32"/>
  <c r="L121" i="32"/>
  <c r="K121" i="32"/>
  <c r="J121" i="32"/>
  <c r="M120" i="32"/>
  <c r="L120" i="32"/>
  <c r="K120" i="32"/>
  <c r="J120" i="32"/>
  <c r="M119" i="32"/>
  <c r="L119" i="32"/>
  <c r="K119" i="32"/>
  <c r="J119" i="32"/>
  <c r="M118" i="32"/>
  <c r="L118" i="32"/>
  <c r="K118" i="32"/>
  <c r="J118" i="32"/>
  <c r="M117" i="32"/>
  <c r="L117" i="32"/>
  <c r="K117" i="32"/>
  <c r="J117" i="32"/>
  <c r="M116" i="32"/>
  <c r="L116" i="32"/>
  <c r="K116" i="32"/>
  <c r="J116" i="32"/>
  <c r="M115" i="32"/>
  <c r="L115" i="32"/>
  <c r="K115" i="32"/>
  <c r="J115" i="32"/>
  <c r="M114" i="32"/>
  <c r="L114" i="32"/>
  <c r="K114" i="32"/>
  <c r="J114" i="32"/>
  <c r="M113" i="32"/>
  <c r="L113" i="32"/>
  <c r="K113" i="32"/>
  <c r="J113" i="32"/>
  <c r="M112" i="32"/>
  <c r="L112" i="32"/>
  <c r="K112" i="32"/>
  <c r="J112" i="32"/>
  <c r="M111" i="32"/>
  <c r="L111" i="32"/>
  <c r="K111" i="32"/>
  <c r="J111" i="32"/>
  <c r="M110" i="32"/>
  <c r="L110" i="32"/>
  <c r="K110" i="32"/>
  <c r="J110" i="32"/>
  <c r="O110" i="32" s="1"/>
  <c r="M109" i="32"/>
  <c r="L109" i="32"/>
  <c r="K109" i="32"/>
  <c r="J109" i="32"/>
  <c r="M108" i="32"/>
  <c r="L108" i="32"/>
  <c r="K108" i="32"/>
  <c r="J108" i="32"/>
  <c r="M97" i="32"/>
  <c r="L97" i="32"/>
  <c r="K97" i="32"/>
  <c r="J97" i="32"/>
  <c r="H97" i="32"/>
  <c r="G97" i="32"/>
  <c r="F97" i="32"/>
  <c r="E97" i="32"/>
  <c r="M96" i="32"/>
  <c r="L96" i="32"/>
  <c r="K96" i="32"/>
  <c r="J96" i="32"/>
  <c r="H96" i="32"/>
  <c r="G96" i="32"/>
  <c r="F96" i="32"/>
  <c r="E96" i="32"/>
  <c r="M95" i="32"/>
  <c r="R95" i="32" s="1"/>
  <c r="L95" i="32"/>
  <c r="K95" i="32"/>
  <c r="J95" i="32"/>
  <c r="O95" i="32" s="1"/>
  <c r="M94" i="32"/>
  <c r="L94" i="32"/>
  <c r="K94" i="32"/>
  <c r="P94" i="32" s="1"/>
  <c r="J94" i="32"/>
  <c r="M93" i="32"/>
  <c r="L93" i="32"/>
  <c r="K93" i="32"/>
  <c r="P93" i="32" s="1"/>
  <c r="U93" i="32" s="1"/>
  <c r="J93" i="32"/>
  <c r="H93" i="32"/>
  <c r="G93" i="32"/>
  <c r="Q126" i="32" s="1"/>
  <c r="F93" i="32"/>
  <c r="E93" i="32"/>
  <c r="M92" i="32"/>
  <c r="L92" i="32"/>
  <c r="K92" i="32"/>
  <c r="J92" i="32"/>
  <c r="H92" i="32"/>
  <c r="G92" i="32"/>
  <c r="F92" i="32"/>
  <c r="E92" i="32"/>
  <c r="M91" i="32"/>
  <c r="L91" i="32"/>
  <c r="Q91" i="32" s="1"/>
  <c r="AA91" i="32" s="1"/>
  <c r="K91" i="32"/>
  <c r="J91" i="32"/>
  <c r="M90" i="32"/>
  <c r="L90" i="32"/>
  <c r="Q90" i="32" s="1"/>
  <c r="K90" i="32"/>
  <c r="J90" i="32"/>
  <c r="M89" i="32"/>
  <c r="L89" i="32"/>
  <c r="Q89" i="32" s="1"/>
  <c r="AA89" i="32" s="1"/>
  <c r="K89" i="32"/>
  <c r="J89" i="32"/>
  <c r="H89" i="32"/>
  <c r="G89" i="32"/>
  <c r="F89" i="32"/>
  <c r="E89" i="32"/>
  <c r="M88" i="32"/>
  <c r="L88" i="32"/>
  <c r="K88" i="32"/>
  <c r="J88" i="32"/>
  <c r="H88" i="32"/>
  <c r="G88" i="32"/>
  <c r="F88" i="32"/>
  <c r="P89" i="32" s="1"/>
  <c r="E88" i="32"/>
  <c r="M87" i="32"/>
  <c r="L87" i="32"/>
  <c r="K87" i="32"/>
  <c r="J87" i="32"/>
  <c r="M86" i="32"/>
  <c r="L86" i="32"/>
  <c r="Q86" i="32" s="1"/>
  <c r="K86" i="32"/>
  <c r="J86" i="32"/>
  <c r="O86" i="32" s="1"/>
  <c r="M85" i="32"/>
  <c r="L85" i="32"/>
  <c r="Q85" i="32" s="1"/>
  <c r="K85" i="32"/>
  <c r="J85" i="32"/>
  <c r="H85" i="32"/>
  <c r="G85" i="32"/>
  <c r="F85" i="32"/>
  <c r="E85" i="32"/>
  <c r="M84" i="32"/>
  <c r="L84" i="32"/>
  <c r="K84" i="32"/>
  <c r="J84" i="32"/>
  <c r="H84" i="32"/>
  <c r="G84" i="32"/>
  <c r="F84" i="32"/>
  <c r="E84" i="32"/>
  <c r="M83" i="32"/>
  <c r="L83" i="32"/>
  <c r="Q83" i="32" s="1"/>
  <c r="AA83" i="32" s="1"/>
  <c r="K83" i="32"/>
  <c r="J83" i="32"/>
  <c r="M82" i="32"/>
  <c r="R82" i="32" s="1"/>
  <c r="AB82" i="32" s="1"/>
  <c r="L82" i="32"/>
  <c r="K82" i="32"/>
  <c r="J82" i="32"/>
  <c r="M81" i="32"/>
  <c r="L81" i="32"/>
  <c r="K81" i="32"/>
  <c r="J81" i="32"/>
  <c r="H81" i="32"/>
  <c r="G81" i="32"/>
  <c r="F81" i="32"/>
  <c r="E81" i="32"/>
  <c r="M80" i="32"/>
  <c r="L80" i="32"/>
  <c r="K80" i="32"/>
  <c r="J80" i="32"/>
  <c r="H80" i="32"/>
  <c r="R79" i="32" s="1"/>
  <c r="G80" i="32"/>
  <c r="F80" i="32"/>
  <c r="E80" i="32"/>
  <c r="M79" i="32"/>
  <c r="L79" i="32"/>
  <c r="K79" i="32"/>
  <c r="P79" i="32" s="1"/>
  <c r="J79" i="32"/>
  <c r="M78" i="32"/>
  <c r="L78" i="32"/>
  <c r="K78" i="32"/>
  <c r="P78" i="32" s="1"/>
  <c r="J78" i="32"/>
  <c r="M77" i="32"/>
  <c r="L77" i="32"/>
  <c r="K77" i="32"/>
  <c r="J77" i="32"/>
  <c r="H77" i="32"/>
  <c r="G77" i="32"/>
  <c r="F77" i="32"/>
  <c r="E77" i="32"/>
  <c r="M76" i="32"/>
  <c r="L76" i="32"/>
  <c r="K76" i="32"/>
  <c r="J76" i="32"/>
  <c r="H76" i="32"/>
  <c r="G76" i="32"/>
  <c r="F76" i="32"/>
  <c r="E76" i="32"/>
  <c r="M75" i="32"/>
  <c r="L75" i="32"/>
  <c r="K75" i="32"/>
  <c r="P75" i="32" s="1"/>
  <c r="J75" i="32"/>
  <c r="M74" i="32"/>
  <c r="L74" i="32"/>
  <c r="K74" i="32"/>
  <c r="P74" i="32" s="1"/>
  <c r="Z74" i="32" s="1"/>
  <c r="J74" i="32"/>
  <c r="K60" i="32"/>
  <c r="J60" i="32"/>
  <c r="I60" i="32"/>
  <c r="H60" i="32"/>
  <c r="K59" i="32"/>
  <c r="J59" i="32"/>
  <c r="I59" i="32"/>
  <c r="H59" i="32"/>
  <c r="K58" i="32"/>
  <c r="J58" i="32"/>
  <c r="I58" i="32"/>
  <c r="H58" i="32"/>
  <c r="J44" i="32"/>
  <c r="I44" i="32"/>
  <c r="H44" i="32"/>
  <c r="G44" i="32"/>
  <c r="J43" i="32"/>
  <c r="I43" i="32"/>
  <c r="H43" i="32"/>
  <c r="G43" i="32"/>
  <c r="J42" i="32"/>
  <c r="I42" i="32"/>
  <c r="H42" i="32"/>
  <c r="G42" i="32"/>
  <c r="J41" i="32"/>
  <c r="I41" i="32"/>
  <c r="H41" i="32"/>
  <c r="G41" i="32"/>
  <c r="J39" i="32"/>
  <c r="I39" i="32"/>
  <c r="H39" i="32"/>
  <c r="G39" i="32"/>
  <c r="J38" i="32"/>
  <c r="I38" i="32"/>
  <c r="H38" i="32"/>
  <c r="G38" i="32"/>
  <c r="J37" i="32"/>
  <c r="I37" i="32"/>
  <c r="H37" i="32"/>
  <c r="G37" i="32"/>
  <c r="J36" i="32"/>
  <c r="I36" i="32"/>
  <c r="H36" i="32"/>
  <c r="G36" i="32"/>
  <c r="J34" i="32"/>
  <c r="I34" i="32"/>
  <c r="H34" i="32"/>
  <c r="G34" i="32"/>
  <c r="J33" i="32"/>
  <c r="I33" i="32"/>
  <c r="H33" i="32"/>
  <c r="G33" i="32"/>
  <c r="J32" i="32"/>
  <c r="I32" i="32"/>
  <c r="H32" i="32"/>
  <c r="G32" i="32"/>
  <c r="J31" i="32"/>
  <c r="I31" i="32"/>
  <c r="H31" i="32"/>
  <c r="G31" i="32"/>
  <c r="O29" i="32"/>
  <c r="N29" i="32"/>
  <c r="M29" i="32"/>
  <c r="L29" i="32"/>
  <c r="J29" i="32"/>
  <c r="I29" i="32"/>
  <c r="H29" i="32"/>
  <c r="G29" i="32"/>
  <c r="J28" i="32"/>
  <c r="I28" i="32"/>
  <c r="H28" i="32"/>
  <c r="G28" i="32"/>
  <c r="J27" i="32"/>
  <c r="I27" i="32"/>
  <c r="H27" i="32"/>
  <c r="G27" i="32"/>
  <c r="N178" i="31"/>
  <c r="O178" i="31" s="1"/>
  <c r="O177" i="31"/>
  <c r="N177" i="31"/>
  <c r="N176" i="31"/>
  <c r="K176" i="31"/>
  <c r="O176" i="31" s="1"/>
  <c r="N173" i="31"/>
  <c r="N172" i="31"/>
  <c r="N171" i="31"/>
  <c r="J168" i="31"/>
  <c r="L166" i="31"/>
  <c r="L165" i="31"/>
  <c r="L164" i="31"/>
  <c r="L163" i="31"/>
  <c r="L162" i="31"/>
  <c r="L161" i="31"/>
  <c r="L160" i="31"/>
  <c r="L168" i="31" s="1"/>
  <c r="L126" i="31"/>
  <c r="K119" i="31"/>
  <c r="V104" i="31"/>
  <c r="V103" i="31"/>
  <c r="U84" i="31"/>
  <c r="R119" i="31"/>
  <c r="Q119" i="31"/>
  <c r="P119" i="31"/>
  <c r="R118" i="31"/>
  <c r="Q118" i="31"/>
  <c r="P118" i="31"/>
  <c r="O118" i="31"/>
  <c r="R117" i="31"/>
  <c r="Q117" i="31"/>
  <c r="P117" i="31"/>
  <c r="O117" i="31"/>
  <c r="Q69" i="31"/>
  <c r="R69" i="31" s="1"/>
  <c r="P69" i="31"/>
  <c r="U68" i="31"/>
  <c r="S68" i="31"/>
  <c r="R68" i="31"/>
  <c r="Q68" i="31"/>
  <c r="T67" i="31"/>
  <c r="U67" i="31" s="1"/>
  <c r="S67" i="31"/>
  <c r="Q67" i="31"/>
  <c r="R67" i="31" s="1"/>
  <c r="K67" i="31"/>
  <c r="R66" i="31"/>
  <c r="Q66" i="31"/>
  <c r="K66" i="31"/>
  <c r="K65" i="31"/>
  <c r="K64" i="31"/>
  <c r="K63" i="31"/>
  <c r="K62" i="31"/>
  <c r="K69" i="31" s="1"/>
  <c r="G60" i="31"/>
  <c r="F60" i="31"/>
  <c r="E60" i="31"/>
  <c r="D60" i="31"/>
  <c r="R59" i="31"/>
  <c r="Q59" i="31"/>
  <c r="P59" i="31"/>
  <c r="O59" i="31"/>
  <c r="O60" i="31" s="1"/>
  <c r="R58" i="31"/>
  <c r="Q58" i="31"/>
  <c r="P58" i="31"/>
  <c r="O58" i="31"/>
  <c r="AT57" i="31"/>
  <c r="R57" i="31"/>
  <c r="Q57" i="31"/>
  <c r="P57" i="31"/>
  <c r="O57" i="31"/>
  <c r="R56" i="31"/>
  <c r="Q56" i="31"/>
  <c r="P56" i="31"/>
  <c r="O56" i="31"/>
  <c r="BB55" i="31"/>
  <c r="BB54" i="31"/>
  <c r="R53" i="31"/>
  <c r="R60" i="31" s="1"/>
  <c r="Q53" i="31"/>
  <c r="P53" i="31"/>
  <c r="P60" i="31" s="1"/>
  <c r="O53" i="31"/>
  <c r="R52" i="31"/>
  <c r="Q52" i="31"/>
  <c r="P52" i="31"/>
  <c r="O52" i="31"/>
  <c r="R51" i="31"/>
  <c r="Q51" i="31"/>
  <c r="P51" i="31"/>
  <c r="O51" i="31"/>
  <c r="R50" i="31"/>
  <c r="Q50" i="31"/>
  <c r="P50" i="31"/>
  <c r="O50" i="31"/>
  <c r="AY49" i="31"/>
  <c r="AY48" i="31"/>
  <c r="AV48" i="31"/>
  <c r="AV49" i="31" s="1"/>
  <c r="AV47" i="31"/>
  <c r="R45" i="31"/>
  <c r="Q45" i="31"/>
  <c r="P45" i="31"/>
  <c r="O45" i="31"/>
  <c r="L45" i="31"/>
  <c r="K45" i="31"/>
  <c r="J45" i="31"/>
  <c r="I45" i="31"/>
  <c r="A45" i="31"/>
  <c r="R44" i="31"/>
  <c r="Q44" i="31"/>
  <c r="P44" i="31"/>
  <c r="O44" i="31"/>
  <c r="L44" i="31"/>
  <c r="K44" i="31"/>
  <c r="J44" i="31"/>
  <c r="I44" i="31"/>
  <c r="A44" i="31"/>
  <c r="R43" i="31"/>
  <c r="Q43" i="31"/>
  <c r="P43" i="31"/>
  <c r="O43" i="31"/>
  <c r="L43" i="31"/>
  <c r="K43" i="31"/>
  <c r="J43" i="31"/>
  <c r="I43" i="31"/>
  <c r="A43" i="31"/>
  <c r="R42" i="31"/>
  <c r="Q42" i="31"/>
  <c r="P42" i="31"/>
  <c r="O42" i="31"/>
  <c r="L42" i="31"/>
  <c r="K42" i="31"/>
  <c r="J42" i="31"/>
  <c r="I42" i="31"/>
  <c r="A42" i="31"/>
  <c r="R41" i="31"/>
  <c r="Q41" i="31"/>
  <c r="P41" i="31"/>
  <c r="O41" i="31"/>
  <c r="L41" i="31"/>
  <c r="K41" i="31"/>
  <c r="J41" i="31"/>
  <c r="I41" i="31"/>
  <c r="A41" i="31"/>
  <c r="R40" i="31"/>
  <c r="Q40" i="31"/>
  <c r="P40" i="31"/>
  <c r="O40" i="31"/>
  <c r="L40" i="31"/>
  <c r="K40" i="31"/>
  <c r="J40" i="31"/>
  <c r="I40" i="31"/>
  <c r="A40" i="31"/>
  <c r="R39" i="31"/>
  <c r="Q39" i="31"/>
  <c r="P39" i="31"/>
  <c r="O39" i="31"/>
  <c r="L39" i="31"/>
  <c r="K39" i="31"/>
  <c r="J39" i="31"/>
  <c r="I39" i="31"/>
  <c r="A39" i="31"/>
  <c r="R38" i="31"/>
  <c r="Q38" i="31"/>
  <c r="P38" i="31"/>
  <c r="O38" i="31"/>
  <c r="L38" i="31"/>
  <c r="K38" i="31"/>
  <c r="J38" i="31"/>
  <c r="I38" i="31"/>
  <c r="A38" i="31"/>
  <c r="R37" i="31"/>
  <c r="Q37" i="31"/>
  <c r="P37" i="31"/>
  <c r="O37" i="31"/>
  <c r="L37" i="31"/>
  <c r="K37" i="31"/>
  <c r="J37" i="31"/>
  <c r="I37" i="31"/>
  <c r="A37" i="31"/>
  <c r="R36" i="31"/>
  <c r="Q36" i="31"/>
  <c r="P36" i="31"/>
  <c r="O36" i="31"/>
  <c r="L36" i="31"/>
  <c r="K36" i="31"/>
  <c r="J36" i="31"/>
  <c r="I36" i="31"/>
  <c r="A36" i="31"/>
  <c r="R35" i="31"/>
  <c r="Q35" i="31"/>
  <c r="P35" i="31"/>
  <c r="O35" i="31"/>
  <c r="L35" i="31"/>
  <c r="K35" i="31"/>
  <c r="J35" i="31"/>
  <c r="I35" i="31"/>
  <c r="A35" i="31"/>
  <c r="R34" i="31"/>
  <c r="Q34" i="31"/>
  <c r="P34" i="31"/>
  <c r="O34" i="31"/>
  <c r="L34" i="31"/>
  <c r="K34" i="31"/>
  <c r="J34" i="31"/>
  <c r="I34" i="31"/>
  <c r="A34" i="31"/>
  <c r="R33" i="31"/>
  <c r="Q33" i="31"/>
  <c r="P33" i="31"/>
  <c r="O33" i="31"/>
  <c r="L33" i="31"/>
  <c r="K33" i="31"/>
  <c r="J33" i="31"/>
  <c r="I33" i="31"/>
  <c r="A33" i="31"/>
  <c r="R32" i="31"/>
  <c r="Q32" i="31"/>
  <c r="P32" i="31"/>
  <c r="O32" i="31"/>
  <c r="L32" i="31"/>
  <c r="K32" i="31"/>
  <c r="J32" i="31"/>
  <c r="I32" i="31"/>
  <c r="A32" i="31"/>
  <c r="R31" i="31"/>
  <c r="Q31" i="31"/>
  <c r="P31" i="31"/>
  <c r="O31" i="31"/>
  <c r="L31" i="31"/>
  <c r="K31" i="31"/>
  <c r="J31" i="31"/>
  <c r="I31" i="31"/>
  <c r="A31" i="31"/>
  <c r="R30" i="31"/>
  <c r="Q30" i="31"/>
  <c r="P30" i="31"/>
  <c r="O30" i="31"/>
  <c r="L30" i="31"/>
  <c r="K30" i="31"/>
  <c r="K52" i="31" s="1"/>
  <c r="J30" i="31"/>
  <c r="I30" i="31"/>
  <c r="A30" i="31"/>
  <c r="R27" i="31"/>
  <c r="Q27" i="31"/>
  <c r="P27" i="31"/>
  <c r="O27" i="31"/>
  <c r="L27" i="31"/>
  <c r="K27" i="31"/>
  <c r="J27" i="31"/>
  <c r="I27" i="31"/>
  <c r="R26" i="31"/>
  <c r="Q26" i="31"/>
  <c r="P26" i="31"/>
  <c r="O26" i="31"/>
  <c r="L26" i="31"/>
  <c r="K26" i="31"/>
  <c r="J26" i="31"/>
  <c r="I26" i="31"/>
  <c r="R25" i="31"/>
  <c r="Q25" i="31"/>
  <c r="P25" i="31"/>
  <c r="O25" i="31"/>
  <c r="K130" i="31" s="1"/>
  <c r="L25" i="31"/>
  <c r="K25" i="31"/>
  <c r="J25" i="31"/>
  <c r="I25" i="31"/>
  <c r="R24" i="31"/>
  <c r="Q24" i="31"/>
  <c r="P24" i="31"/>
  <c r="O24" i="31"/>
  <c r="K129" i="31" s="1"/>
  <c r="L24" i="31"/>
  <c r="K24" i="31"/>
  <c r="J24" i="31"/>
  <c r="I24" i="31"/>
  <c r="R23" i="31"/>
  <c r="Q23" i="31"/>
  <c r="P23" i="31"/>
  <c r="P82" i="31" s="1"/>
  <c r="O23" i="31"/>
  <c r="L23" i="31"/>
  <c r="L51" i="31" s="1"/>
  <c r="K23" i="31"/>
  <c r="K51" i="31" s="1"/>
  <c r="J23" i="31"/>
  <c r="J51" i="31" s="1"/>
  <c r="I23" i="31"/>
  <c r="I51" i="31" s="1"/>
  <c r="R20" i="31"/>
  <c r="Q20" i="31"/>
  <c r="P20" i="31"/>
  <c r="O20" i="31"/>
  <c r="L14" i="31"/>
  <c r="L50" i="31" s="1"/>
  <c r="L13" i="31"/>
  <c r="K13" i="31"/>
  <c r="K14" i="31" s="1"/>
  <c r="K48" i="31" s="1"/>
  <c r="K79" i="31" s="1"/>
  <c r="J13" i="31"/>
  <c r="J14" i="31" s="1"/>
  <c r="I13" i="31"/>
  <c r="I14" i="31" s="1"/>
  <c r="L12" i="31"/>
  <c r="K12" i="31"/>
  <c r="J12" i="31"/>
  <c r="I12" i="31"/>
  <c r="L11" i="31"/>
  <c r="K11" i="31"/>
  <c r="J11" i="31"/>
  <c r="I11" i="31"/>
  <c r="L10" i="31"/>
  <c r="K10" i="31"/>
  <c r="J10" i="31"/>
  <c r="I10" i="31"/>
  <c r="L9" i="31"/>
  <c r="K9" i="31"/>
  <c r="J9" i="31"/>
  <c r="I9" i="31"/>
  <c r="L8" i="31"/>
  <c r="K8" i="31"/>
  <c r="J8" i="31"/>
  <c r="I8" i="31"/>
  <c r="K176" i="30"/>
  <c r="O178" i="30" s="1"/>
  <c r="J168" i="30"/>
  <c r="L166" i="30"/>
  <c r="L165" i="30"/>
  <c r="L164" i="30"/>
  <c r="L163" i="30"/>
  <c r="L162" i="30"/>
  <c r="L161" i="30"/>
  <c r="L160" i="30"/>
  <c r="L168" i="30" s="1"/>
  <c r="L126" i="30"/>
  <c r="V104" i="30"/>
  <c r="V103" i="30"/>
  <c r="U84" i="30"/>
  <c r="Q69" i="30"/>
  <c r="R69" i="30" s="1"/>
  <c r="P69" i="30"/>
  <c r="U68" i="30"/>
  <c r="S68" i="30"/>
  <c r="R68" i="30"/>
  <c r="Q68" i="30"/>
  <c r="T67" i="30"/>
  <c r="U67" i="30" s="1"/>
  <c r="S67" i="30"/>
  <c r="Q67" i="30"/>
  <c r="R67" i="30" s="1"/>
  <c r="K67" i="30"/>
  <c r="R66" i="30"/>
  <c r="Q66" i="30"/>
  <c r="K66" i="30"/>
  <c r="K65" i="30"/>
  <c r="K64" i="30"/>
  <c r="K63" i="30"/>
  <c r="K62" i="30"/>
  <c r="K69" i="30" s="1"/>
  <c r="AT57" i="30"/>
  <c r="R56" i="30"/>
  <c r="P56" i="30"/>
  <c r="O56" i="30"/>
  <c r="BB55" i="30"/>
  <c r="BB54" i="30"/>
  <c r="AY49" i="30"/>
  <c r="AV49" i="30"/>
  <c r="AY48" i="30"/>
  <c r="AV48" i="30"/>
  <c r="AV47" i="30"/>
  <c r="R45" i="30"/>
  <c r="Q45" i="30"/>
  <c r="P45" i="30"/>
  <c r="O45" i="30"/>
  <c r="L45" i="30"/>
  <c r="K45" i="30"/>
  <c r="J45" i="30"/>
  <c r="I45" i="30"/>
  <c r="A45" i="30"/>
  <c r="R44" i="30"/>
  <c r="Q44" i="30"/>
  <c r="P44" i="30"/>
  <c r="O44" i="30"/>
  <c r="L44" i="30"/>
  <c r="K44" i="30"/>
  <c r="J44" i="30"/>
  <c r="I44" i="30"/>
  <c r="A44" i="30"/>
  <c r="R43" i="30"/>
  <c r="Q43" i="30"/>
  <c r="P43" i="30"/>
  <c r="O43" i="30"/>
  <c r="L43" i="30"/>
  <c r="K43" i="30"/>
  <c r="J43" i="30"/>
  <c r="I43" i="30"/>
  <c r="A43" i="30"/>
  <c r="R42" i="30"/>
  <c r="Q42" i="30"/>
  <c r="P42" i="30"/>
  <c r="O42" i="30"/>
  <c r="L42" i="30"/>
  <c r="K42" i="30"/>
  <c r="J42" i="30"/>
  <c r="I42" i="30"/>
  <c r="A42" i="30"/>
  <c r="R41" i="30"/>
  <c r="Q41" i="30"/>
  <c r="P41" i="30"/>
  <c r="O41" i="30"/>
  <c r="L41" i="30"/>
  <c r="K41" i="30"/>
  <c r="J41" i="30"/>
  <c r="I41" i="30"/>
  <c r="A41" i="30"/>
  <c r="R40" i="30"/>
  <c r="Q40" i="30"/>
  <c r="P40" i="30"/>
  <c r="O40" i="30"/>
  <c r="L40" i="30"/>
  <c r="K40" i="30"/>
  <c r="J40" i="30"/>
  <c r="I40" i="30"/>
  <c r="A40" i="30"/>
  <c r="R39" i="30"/>
  <c r="Q39" i="30"/>
  <c r="P39" i="30"/>
  <c r="O39" i="30"/>
  <c r="L39" i="30"/>
  <c r="K39" i="30"/>
  <c r="J39" i="30"/>
  <c r="I39" i="30"/>
  <c r="A39" i="30"/>
  <c r="R38" i="30"/>
  <c r="Q38" i="30"/>
  <c r="P38" i="30"/>
  <c r="O38" i="30"/>
  <c r="L38" i="30"/>
  <c r="K38" i="30"/>
  <c r="J38" i="30"/>
  <c r="I38" i="30"/>
  <c r="A38" i="30"/>
  <c r="R37" i="30"/>
  <c r="Q37" i="30"/>
  <c r="P37" i="30"/>
  <c r="O37" i="30"/>
  <c r="L37" i="30"/>
  <c r="K37" i="30"/>
  <c r="J37" i="30"/>
  <c r="I37" i="30"/>
  <c r="A37" i="30"/>
  <c r="R36" i="30"/>
  <c r="Q36" i="30"/>
  <c r="P36" i="30"/>
  <c r="O36" i="30"/>
  <c r="L36" i="30"/>
  <c r="K36" i="30"/>
  <c r="J36" i="30"/>
  <c r="I36" i="30"/>
  <c r="A36" i="30"/>
  <c r="R35" i="30"/>
  <c r="Q35" i="30"/>
  <c r="P35" i="30"/>
  <c r="O35" i="30"/>
  <c r="L35" i="30"/>
  <c r="K35" i="30"/>
  <c r="J35" i="30"/>
  <c r="I35" i="30"/>
  <c r="A35" i="30"/>
  <c r="R34" i="30"/>
  <c r="Q34" i="30"/>
  <c r="P34" i="30"/>
  <c r="O34" i="30"/>
  <c r="L34" i="30"/>
  <c r="K34" i="30"/>
  <c r="J34" i="30"/>
  <c r="I34" i="30"/>
  <c r="A34" i="30"/>
  <c r="R33" i="30"/>
  <c r="Q33" i="30"/>
  <c r="P33" i="30"/>
  <c r="O33" i="30"/>
  <c r="L33" i="30"/>
  <c r="K33" i="30"/>
  <c r="J33" i="30"/>
  <c r="I33" i="30"/>
  <c r="A33" i="30"/>
  <c r="R32" i="30"/>
  <c r="Q32" i="30"/>
  <c r="P32" i="30"/>
  <c r="O32" i="30"/>
  <c r="L32" i="30"/>
  <c r="K32" i="30"/>
  <c r="J32" i="30"/>
  <c r="I32" i="30"/>
  <c r="A32" i="30"/>
  <c r="L31" i="30"/>
  <c r="K31" i="30"/>
  <c r="I31" i="30"/>
  <c r="R58" i="30"/>
  <c r="Q58" i="30"/>
  <c r="P31" i="30"/>
  <c r="O31" i="30"/>
  <c r="A31" i="30"/>
  <c r="R30" i="30"/>
  <c r="Q30" i="30"/>
  <c r="P30" i="30"/>
  <c r="O30" i="30"/>
  <c r="L30" i="30"/>
  <c r="K30" i="30"/>
  <c r="J30" i="30"/>
  <c r="I30" i="30"/>
  <c r="A30" i="30"/>
  <c r="R27" i="30"/>
  <c r="Q27" i="30"/>
  <c r="P27" i="30"/>
  <c r="O27" i="30"/>
  <c r="L27" i="30"/>
  <c r="K27" i="30"/>
  <c r="J27" i="30"/>
  <c r="I27" i="30"/>
  <c r="L26" i="30"/>
  <c r="J26" i="30"/>
  <c r="I26" i="30"/>
  <c r="Q51" i="30"/>
  <c r="P51" i="30"/>
  <c r="O51" i="30"/>
  <c r="R25" i="30"/>
  <c r="Q25" i="30"/>
  <c r="P25" i="30"/>
  <c r="O25" i="30"/>
  <c r="K130" i="30" s="1"/>
  <c r="L25" i="30"/>
  <c r="K25" i="30"/>
  <c r="J25" i="30"/>
  <c r="I25" i="30"/>
  <c r="R24" i="30"/>
  <c r="Q24" i="30"/>
  <c r="P24" i="30"/>
  <c r="O24" i="30"/>
  <c r="K129" i="30" s="1"/>
  <c r="L24" i="30"/>
  <c r="K24" i="30"/>
  <c r="J24" i="30"/>
  <c r="I24" i="30"/>
  <c r="R23" i="30"/>
  <c r="Q23" i="30"/>
  <c r="P23" i="30"/>
  <c r="O23" i="30"/>
  <c r="O82" i="30" s="1"/>
  <c r="L23" i="30"/>
  <c r="K23" i="30"/>
  <c r="J23" i="30"/>
  <c r="I23" i="30"/>
  <c r="R20" i="30"/>
  <c r="Q20" i="30"/>
  <c r="P20" i="30"/>
  <c r="O20" i="30"/>
  <c r="K126" i="30" s="1"/>
  <c r="J14" i="30"/>
  <c r="J50" i="30" s="1"/>
  <c r="L13" i="30"/>
  <c r="L14" i="30" s="1"/>
  <c r="K13" i="30"/>
  <c r="K14" i="30" s="1"/>
  <c r="J13" i="30"/>
  <c r="I13" i="30"/>
  <c r="I14" i="30" s="1"/>
  <c r="L12" i="30"/>
  <c r="K12" i="30"/>
  <c r="J12" i="30"/>
  <c r="I12" i="30"/>
  <c r="L11" i="30"/>
  <c r="K11" i="30"/>
  <c r="J11" i="30"/>
  <c r="I11" i="30"/>
  <c r="L10" i="30"/>
  <c r="K10" i="30"/>
  <c r="J10" i="30"/>
  <c r="I10" i="30"/>
  <c r="L9" i="30"/>
  <c r="K9" i="30"/>
  <c r="J9" i="30"/>
  <c r="I9" i="30"/>
  <c r="L8" i="30"/>
  <c r="K8" i="30"/>
  <c r="J8" i="30"/>
  <c r="I8" i="30"/>
  <c r="AA94" i="33" l="1"/>
  <c r="W76" i="33"/>
  <c r="AA80" i="33"/>
  <c r="AG96" i="33"/>
  <c r="AD87" i="33"/>
  <c r="Q207" i="33"/>
  <c r="AK77" i="33"/>
  <c r="AG76" i="33"/>
  <c r="Q237" i="33"/>
  <c r="AB76" i="33"/>
  <c r="O244" i="33"/>
  <c r="O221" i="33"/>
  <c r="W96" i="33"/>
  <c r="R247" i="33"/>
  <c r="U81" i="33"/>
  <c r="R206" i="33"/>
  <c r="AG206" i="33" s="1"/>
  <c r="Z96" i="33"/>
  <c r="V78" i="33"/>
  <c r="AB96" i="33"/>
  <c r="P207" i="33"/>
  <c r="Q251" i="33"/>
  <c r="R253" i="33"/>
  <c r="P234" i="33"/>
  <c r="P238" i="33"/>
  <c r="AE238" i="33" s="1"/>
  <c r="U96" i="33"/>
  <c r="V94" i="33"/>
  <c r="O248" i="33"/>
  <c r="Z81" i="33"/>
  <c r="AI97" i="33"/>
  <c r="W93" i="33"/>
  <c r="Q84" i="32"/>
  <c r="Q87" i="32"/>
  <c r="AA87" i="32" s="1"/>
  <c r="R84" i="32"/>
  <c r="P95" i="32"/>
  <c r="AK94" i="33"/>
  <c r="AF88" i="33"/>
  <c r="AF89" i="33"/>
  <c r="AK93" i="33"/>
  <c r="AF93" i="33"/>
  <c r="AK75" i="33"/>
  <c r="AF97" i="33"/>
  <c r="AK88" i="33"/>
  <c r="AF81" i="33"/>
  <c r="AF75" i="33"/>
  <c r="AJ89" i="33"/>
  <c r="AJ75" i="33"/>
  <c r="AD91" i="33"/>
  <c r="AI87" i="33"/>
  <c r="AE89" i="33"/>
  <c r="AF77" i="33"/>
  <c r="AF95" i="33"/>
  <c r="AF82" i="33"/>
  <c r="AF80" i="33"/>
  <c r="AF74" i="33"/>
  <c r="AI81" i="33"/>
  <c r="AF86" i="33"/>
  <c r="AI74" i="33"/>
  <c r="AL80" i="33"/>
  <c r="AL94" i="33"/>
  <c r="AF94" i="33"/>
  <c r="AL83" i="33"/>
  <c r="AD81" i="33"/>
  <c r="AL79" i="33"/>
  <c r="AL76" i="33"/>
  <c r="AI84" i="33"/>
  <c r="AI82" i="33"/>
  <c r="AF79" i="33"/>
  <c r="AE74" i="33"/>
  <c r="AI90" i="33"/>
  <c r="AI108" i="33"/>
  <c r="Q208" i="33"/>
  <c r="AJ76" i="33"/>
  <c r="P233" i="33"/>
  <c r="R223" i="33"/>
  <c r="R249" i="33"/>
  <c r="W249" i="33" s="1"/>
  <c r="AI88" i="33"/>
  <c r="O235" i="33"/>
  <c r="Y235" i="33" s="1"/>
  <c r="AB90" i="33"/>
  <c r="AF78" i="33"/>
  <c r="Y94" i="33"/>
  <c r="AI94" i="33"/>
  <c r="R248" i="33"/>
  <c r="Q235" i="33"/>
  <c r="AA75" i="33"/>
  <c r="T97" i="33"/>
  <c r="O227" i="33"/>
  <c r="AD227" i="33" s="1"/>
  <c r="V77" i="33"/>
  <c r="AA79" i="33"/>
  <c r="AG90" i="33"/>
  <c r="AJ74" i="33"/>
  <c r="T85" i="33"/>
  <c r="U76" i="33"/>
  <c r="W90" i="33"/>
  <c r="O254" i="33"/>
  <c r="Y254" i="33" s="1"/>
  <c r="AL93" i="33"/>
  <c r="T77" i="33"/>
  <c r="AF110" i="33"/>
  <c r="O234" i="33"/>
  <c r="AA110" i="33"/>
  <c r="O215" i="33"/>
  <c r="AE76" i="33"/>
  <c r="Z76" i="33"/>
  <c r="Y89" i="33"/>
  <c r="P236" i="33"/>
  <c r="AE236" i="33" s="1"/>
  <c r="P212" i="33"/>
  <c r="Q227" i="33"/>
  <c r="T87" i="33"/>
  <c r="O207" i="33"/>
  <c r="AJ78" i="33"/>
  <c r="Y85" i="33"/>
  <c r="AI93" i="33"/>
  <c r="P208" i="33"/>
  <c r="AE208" i="33" s="1"/>
  <c r="R252" i="33"/>
  <c r="T93" i="33"/>
  <c r="U79" i="33"/>
  <c r="P235" i="33"/>
  <c r="AE79" i="33"/>
  <c r="T89" i="33"/>
  <c r="O223" i="33"/>
  <c r="AE78" i="33"/>
  <c r="AD78" i="33"/>
  <c r="Y93" i="33"/>
  <c r="AJ79" i="33"/>
  <c r="U82" i="33"/>
  <c r="V97" i="33"/>
  <c r="T78" i="33"/>
  <c r="Z79" i="33"/>
  <c r="Z82" i="33"/>
  <c r="P193" i="33"/>
  <c r="P165" i="33"/>
  <c r="AJ125" i="33"/>
  <c r="Z125" i="33"/>
  <c r="U125" i="33"/>
  <c r="AE125" i="33"/>
  <c r="AA219" i="33"/>
  <c r="V219" i="33"/>
  <c r="AF219" i="33"/>
  <c r="AD219" i="33"/>
  <c r="T219" i="33"/>
  <c r="Y219" i="33"/>
  <c r="Y204" i="33"/>
  <c r="AD204" i="33"/>
  <c r="T204" i="33"/>
  <c r="AA224" i="33"/>
  <c r="AF224" i="33"/>
  <c r="V224" i="33"/>
  <c r="AE249" i="33"/>
  <c r="U249" i="33"/>
  <c r="Z249" i="33"/>
  <c r="R199" i="33"/>
  <c r="R171" i="33"/>
  <c r="AL131" i="33"/>
  <c r="W131" i="33"/>
  <c r="AG131" i="33"/>
  <c r="AB131" i="33"/>
  <c r="AF244" i="33"/>
  <c r="V244" i="33"/>
  <c r="AA244" i="33"/>
  <c r="AA205" i="33"/>
  <c r="AF205" i="33"/>
  <c r="V205" i="33"/>
  <c r="Q197" i="33"/>
  <c r="Q169" i="33"/>
  <c r="AK129" i="33"/>
  <c r="AA129" i="33"/>
  <c r="AF129" i="33"/>
  <c r="V129" i="33"/>
  <c r="Z216" i="33"/>
  <c r="AE216" i="33"/>
  <c r="U216" i="33"/>
  <c r="AF152" i="33"/>
  <c r="V152" i="33"/>
  <c r="AA152" i="33"/>
  <c r="P194" i="33"/>
  <c r="P166" i="33"/>
  <c r="AJ126" i="33"/>
  <c r="Z126" i="33"/>
  <c r="U126" i="33"/>
  <c r="AE126" i="33"/>
  <c r="P224" i="33"/>
  <c r="P251" i="33"/>
  <c r="AJ94" i="33"/>
  <c r="Z94" i="33"/>
  <c r="U94" i="33"/>
  <c r="AE94" i="33"/>
  <c r="Q192" i="33"/>
  <c r="Q164" i="33"/>
  <c r="V124" i="33"/>
  <c r="AK124" i="33"/>
  <c r="AF124" i="33"/>
  <c r="AA124" i="33"/>
  <c r="AG249" i="33"/>
  <c r="AB249" i="33"/>
  <c r="P188" i="33"/>
  <c r="AJ120" i="33"/>
  <c r="Z120" i="33"/>
  <c r="P160" i="33"/>
  <c r="U120" i="33"/>
  <c r="AE120" i="33"/>
  <c r="R184" i="33"/>
  <c r="R156" i="33"/>
  <c r="AG116" i="33"/>
  <c r="W116" i="33"/>
  <c r="AL116" i="33"/>
  <c r="AB116" i="33"/>
  <c r="Q182" i="33"/>
  <c r="Q154" i="33"/>
  <c r="AF114" i="33"/>
  <c r="AK114" i="33"/>
  <c r="AA114" i="33"/>
  <c r="V114" i="33"/>
  <c r="AF254" i="33"/>
  <c r="V254" i="33"/>
  <c r="AA254" i="33"/>
  <c r="R182" i="33"/>
  <c r="AG114" i="33"/>
  <c r="W114" i="33"/>
  <c r="R154" i="33"/>
  <c r="AL114" i="33"/>
  <c r="AB114" i="33"/>
  <c r="AA223" i="33"/>
  <c r="AF223" i="33"/>
  <c r="V223" i="33"/>
  <c r="Y246" i="33"/>
  <c r="AD246" i="33"/>
  <c r="T246" i="33"/>
  <c r="AG239" i="33"/>
  <c r="W239" i="33"/>
  <c r="AB239" i="33"/>
  <c r="Y231" i="33"/>
  <c r="AD231" i="33"/>
  <c r="T231" i="33"/>
  <c r="O195" i="33"/>
  <c r="O167" i="33"/>
  <c r="AI127" i="33"/>
  <c r="Y127" i="33"/>
  <c r="T127" i="33"/>
  <c r="AD127" i="33"/>
  <c r="AJ87" i="33"/>
  <c r="P184" i="33"/>
  <c r="AJ116" i="33"/>
  <c r="Z116" i="33"/>
  <c r="P156" i="33"/>
  <c r="U116" i="33"/>
  <c r="AE116" i="33"/>
  <c r="O181" i="33"/>
  <c r="AI113" i="33"/>
  <c r="Y113" i="33"/>
  <c r="O153" i="33"/>
  <c r="T113" i="33"/>
  <c r="AD113" i="33"/>
  <c r="AE77" i="33"/>
  <c r="Y244" i="33"/>
  <c r="T244" i="33"/>
  <c r="AD244" i="33"/>
  <c r="R176" i="33"/>
  <c r="AG108" i="33"/>
  <c r="W108" i="33"/>
  <c r="AB108" i="33"/>
  <c r="R148" i="33"/>
  <c r="AL108" i="33"/>
  <c r="Z222" i="33"/>
  <c r="AE222" i="33"/>
  <c r="U222" i="33"/>
  <c r="P214" i="33"/>
  <c r="P241" i="33"/>
  <c r="U84" i="33"/>
  <c r="AE84" i="33"/>
  <c r="Z84" i="33"/>
  <c r="AJ84" i="33"/>
  <c r="AD221" i="33"/>
  <c r="T221" i="33"/>
  <c r="Y221" i="33"/>
  <c r="AI95" i="33"/>
  <c r="R218" i="33"/>
  <c r="R245" i="33"/>
  <c r="AL88" i="33"/>
  <c r="AB88" i="33"/>
  <c r="W88" i="33"/>
  <c r="AG88" i="33"/>
  <c r="W151" i="33"/>
  <c r="AG151" i="33"/>
  <c r="AB151" i="33"/>
  <c r="Z218" i="33"/>
  <c r="AE218" i="33"/>
  <c r="U218" i="33"/>
  <c r="R198" i="33"/>
  <c r="R170" i="33"/>
  <c r="AB130" i="33"/>
  <c r="AL130" i="33"/>
  <c r="AG130" i="33"/>
  <c r="W130" i="33"/>
  <c r="AG248" i="33"/>
  <c r="W248" i="33"/>
  <c r="AB248" i="33"/>
  <c r="AA217" i="33"/>
  <c r="V217" i="33"/>
  <c r="AF217" i="33"/>
  <c r="AA209" i="33"/>
  <c r="V209" i="33"/>
  <c r="AF209" i="33"/>
  <c r="AA207" i="33"/>
  <c r="AF207" i="33"/>
  <c r="V207" i="33"/>
  <c r="AF232" i="33"/>
  <c r="V232" i="33"/>
  <c r="AA232" i="33"/>
  <c r="W219" i="33"/>
  <c r="AG219" i="33"/>
  <c r="AB219" i="33"/>
  <c r="O177" i="33"/>
  <c r="O149" i="33"/>
  <c r="AI109" i="33"/>
  <c r="T109" i="33"/>
  <c r="AD109" i="33"/>
  <c r="Y109" i="33"/>
  <c r="Q198" i="33"/>
  <c r="Q170" i="33"/>
  <c r="AK130" i="33"/>
  <c r="AA130" i="33"/>
  <c r="AF130" i="33"/>
  <c r="V130" i="33"/>
  <c r="W220" i="33"/>
  <c r="AG220" i="33"/>
  <c r="AB220" i="33"/>
  <c r="AF245" i="33"/>
  <c r="V245" i="33"/>
  <c r="AA245" i="33"/>
  <c r="P177" i="33"/>
  <c r="AJ109" i="33"/>
  <c r="Z109" i="33"/>
  <c r="P149" i="33"/>
  <c r="AE109" i="33"/>
  <c r="U109" i="33"/>
  <c r="R195" i="33"/>
  <c r="R167" i="33"/>
  <c r="AG127" i="33"/>
  <c r="W127" i="33"/>
  <c r="AL127" i="33"/>
  <c r="AB127" i="33"/>
  <c r="AF240" i="33"/>
  <c r="V240" i="33"/>
  <c r="AA240" i="33"/>
  <c r="AD211" i="33"/>
  <c r="T211" i="33"/>
  <c r="Y211" i="33"/>
  <c r="AF243" i="33"/>
  <c r="V243" i="33"/>
  <c r="AA243" i="33"/>
  <c r="Y176" i="33"/>
  <c r="AD176" i="33"/>
  <c r="T176" i="33"/>
  <c r="AL78" i="33"/>
  <c r="Z226" i="33"/>
  <c r="AE226" i="33"/>
  <c r="U226" i="33"/>
  <c r="AF85" i="33"/>
  <c r="AD79" i="33"/>
  <c r="AJ82" i="33"/>
  <c r="AF180" i="33"/>
  <c r="V180" i="33"/>
  <c r="AA180" i="33"/>
  <c r="AG242" i="33"/>
  <c r="W242" i="33"/>
  <c r="AB242" i="33"/>
  <c r="R181" i="33"/>
  <c r="R153" i="33"/>
  <c r="AG113" i="33"/>
  <c r="W113" i="33"/>
  <c r="AL113" i="33"/>
  <c r="AB113" i="33"/>
  <c r="AF250" i="33"/>
  <c r="V250" i="33"/>
  <c r="AA250" i="33"/>
  <c r="O194" i="33"/>
  <c r="O166" i="33"/>
  <c r="AI126" i="33"/>
  <c r="Y126" i="33"/>
  <c r="T126" i="33"/>
  <c r="AD126" i="33"/>
  <c r="O180" i="33"/>
  <c r="AI112" i="33"/>
  <c r="Y112" i="33"/>
  <c r="O152" i="33"/>
  <c r="T112" i="33"/>
  <c r="AD112" i="33"/>
  <c r="O187" i="33"/>
  <c r="O159" i="33"/>
  <c r="AI119" i="33"/>
  <c r="Y119" i="33"/>
  <c r="T119" i="33"/>
  <c r="AD119" i="33"/>
  <c r="Q176" i="33"/>
  <c r="Q148" i="33"/>
  <c r="AF108" i="33"/>
  <c r="V108" i="33"/>
  <c r="AA108" i="33"/>
  <c r="AK108" i="33"/>
  <c r="W221" i="33"/>
  <c r="AG221" i="33"/>
  <c r="AB221" i="33"/>
  <c r="R191" i="33"/>
  <c r="AG123" i="33"/>
  <c r="W123" i="33"/>
  <c r="AL123" i="33"/>
  <c r="R163" i="33"/>
  <c r="AB123" i="33"/>
  <c r="P176" i="33"/>
  <c r="P148" i="33"/>
  <c r="AJ108" i="33"/>
  <c r="Z108" i="33"/>
  <c r="U108" i="33"/>
  <c r="AE108" i="33"/>
  <c r="R166" i="33"/>
  <c r="R194" i="33"/>
  <c r="AG126" i="33"/>
  <c r="W126" i="33"/>
  <c r="AL126" i="33"/>
  <c r="AB126" i="33"/>
  <c r="Z211" i="33"/>
  <c r="AE211" i="33"/>
  <c r="U211" i="33"/>
  <c r="AE233" i="33"/>
  <c r="U233" i="33"/>
  <c r="Z233" i="33"/>
  <c r="AD148" i="33"/>
  <c r="T148" i="33"/>
  <c r="Y148" i="33"/>
  <c r="AE253" i="33"/>
  <c r="U253" i="33"/>
  <c r="Z253" i="33"/>
  <c r="P195" i="33"/>
  <c r="P167" i="33"/>
  <c r="AJ127" i="33"/>
  <c r="Z127" i="33"/>
  <c r="U127" i="33"/>
  <c r="AE127" i="33"/>
  <c r="AD97" i="33"/>
  <c r="P225" i="33"/>
  <c r="P252" i="33"/>
  <c r="AJ95" i="33"/>
  <c r="Z95" i="33"/>
  <c r="U95" i="33"/>
  <c r="AE95" i="33"/>
  <c r="Q193" i="33"/>
  <c r="Q165" i="33"/>
  <c r="V125" i="33"/>
  <c r="AK125" i="33"/>
  <c r="AF125" i="33"/>
  <c r="AA125" i="33"/>
  <c r="P189" i="33"/>
  <c r="AJ121" i="33"/>
  <c r="Z121" i="33"/>
  <c r="P161" i="33"/>
  <c r="U121" i="33"/>
  <c r="AE121" i="33"/>
  <c r="R185" i="33"/>
  <c r="R157" i="33"/>
  <c r="AG117" i="33"/>
  <c r="W117" i="33"/>
  <c r="AL117" i="33"/>
  <c r="AB117" i="33"/>
  <c r="Q183" i="33"/>
  <c r="Q155" i="33"/>
  <c r="AF115" i="33"/>
  <c r="AK115" i="33"/>
  <c r="AA115" i="33"/>
  <c r="V115" i="33"/>
  <c r="AA227" i="33"/>
  <c r="AF227" i="33"/>
  <c r="V227" i="33"/>
  <c r="R183" i="33"/>
  <c r="AG115" i="33"/>
  <c r="W115" i="33"/>
  <c r="AL115" i="33"/>
  <c r="R155" i="33"/>
  <c r="AB115" i="33"/>
  <c r="Q222" i="33"/>
  <c r="Q249" i="33"/>
  <c r="AK92" i="33"/>
  <c r="AA92" i="33"/>
  <c r="V92" i="33"/>
  <c r="AF92" i="33"/>
  <c r="O188" i="33"/>
  <c r="AI120" i="33"/>
  <c r="Y120" i="33"/>
  <c r="O160" i="33"/>
  <c r="T120" i="33"/>
  <c r="AD120" i="33"/>
  <c r="Q184" i="33"/>
  <c r="Q156" i="33"/>
  <c r="AF116" i="33"/>
  <c r="AK116" i="33"/>
  <c r="AA116" i="33"/>
  <c r="V116" i="33"/>
  <c r="W212" i="33"/>
  <c r="AG212" i="33"/>
  <c r="AB212" i="33"/>
  <c r="AG252" i="33"/>
  <c r="W252" i="33"/>
  <c r="AB252" i="33"/>
  <c r="P220" i="33"/>
  <c r="P247" i="33"/>
  <c r="AJ90" i="33"/>
  <c r="Z90" i="33"/>
  <c r="AE90" i="33"/>
  <c r="U90" i="33"/>
  <c r="P185" i="33"/>
  <c r="AJ117" i="33"/>
  <c r="Z117" i="33"/>
  <c r="U117" i="33"/>
  <c r="AE117" i="33"/>
  <c r="P157" i="33"/>
  <c r="O182" i="33"/>
  <c r="AI114" i="33"/>
  <c r="Y114" i="33"/>
  <c r="O154" i="33"/>
  <c r="AD114" i="33"/>
  <c r="T114" i="33"/>
  <c r="AK96" i="33"/>
  <c r="Y209" i="33"/>
  <c r="AD209" i="33"/>
  <c r="T209" i="33"/>
  <c r="AD94" i="33"/>
  <c r="O249" i="33"/>
  <c r="O222" i="33"/>
  <c r="AI92" i="33"/>
  <c r="Y92" i="33"/>
  <c r="T92" i="33"/>
  <c r="AD92" i="33"/>
  <c r="AD77" i="33"/>
  <c r="Y248" i="33"/>
  <c r="AD248" i="33"/>
  <c r="T248" i="33"/>
  <c r="W179" i="33"/>
  <c r="AG179" i="33"/>
  <c r="AB179" i="33"/>
  <c r="AI79" i="33"/>
  <c r="R197" i="33"/>
  <c r="R169" i="33"/>
  <c r="AG129" i="33"/>
  <c r="AB129" i="33"/>
  <c r="W129" i="33"/>
  <c r="AL129" i="33"/>
  <c r="AK90" i="33"/>
  <c r="AD216" i="33"/>
  <c r="T216" i="33"/>
  <c r="Y216" i="33"/>
  <c r="AF236" i="33"/>
  <c r="V236" i="33"/>
  <c r="AA236" i="33"/>
  <c r="AF234" i="33"/>
  <c r="V234" i="33"/>
  <c r="AA234" i="33"/>
  <c r="AK74" i="33"/>
  <c r="AG246" i="33"/>
  <c r="W246" i="33"/>
  <c r="AB246" i="33"/>
  <c r="AL97" i="33"/>
  <c r="Q199" i="33"/>
  <c r="Q171" i="33"/>
  <c r="AK131" i="33"/>
  <c r="AA131" i="33"/>
  <c r="V131" i="33"/>
  <c r="AF131" i="33"/>
  <c r="AG247" i="33"/>
  <c r="W247" i="33"/>
  <c r="AB247" i="33"/>
  <c r="AA218" i="33"/>
  <c r="V218" i="33"/>
  <c r="AF218" i="33"/>
  <c r="O240" i="33"/>
  <c r="O213" i="33"/>
  <c r="AI83" i="33"/>
  <c r="T83" i="33"/>
  <c r="AD83" i="33"/>
  <c r="Y83" i="33"/>
  <c r="P178" i="33"/>
  <c r="AJ110" i="33"/>
  <c r="Z110" i="33"/>
  <c r="AE110" i="33"/>
  <c r="P150" i="33"/>
  <c r="U110" i="33"/>
  <c r="Z204" i="33"/>
  <c r="AE204" i="33"/>
  <c r="U204" i="33"/>
  <c r="AF247" i="33"/>
  <c r="V247" i="33"/>
  <c r="AA247" i="33"/>
  <c r="AA213" i="33"/>
  <c r="V213" i="33"/>
  <c r="AF213" i="33"/>
  <c r="AF76" i="33"/>
  <c r="AD85" i="33"/>
  <c r="Y238" i="33"/>
  <c r="T238" i="33"/>
  <c r="AD238" i="33"/>
  <c r="AE85" i="33"/>
  <c r="AG233" i="33"/>
  <c r="W233" i="33"/>
  <c r="AB233" i="33"/>
  <c r="AA216" i="33"/>
  <c r="V216" i="33"/>
  <c r="AF216" i="33"/>
  <c r="AD76" i="33"/>
  <c r="AD214" i="33"/>
  <c r="T214" i="33"/>
  <c r="Y214" i="33"/>
  <c r="AI91" i="33"/>
  <c r="AD212" i="33"/>
  <c r="T212" i="33"/>
  <c r="Y212" i="33"/>
  <c r="Q181" i="33"/>
  <c r="Q153" i="33"/>
  <c r="AF113" i="33"/>
  <c r="AK113" i="33"/>
  <c r="AA113" i="33"/>
  <c r="V113" i="33"/>
  <c r="AD217" i="33"/>
  <c r="T217" i="33"/>
  <c r="Y217" i="33"/>
  <c r="AE245" i="33"/>
  <c r="U245" i="33"/>
  <c r="Z245" i="33"/>
  <c r="Z217" i="33"/>
  <c r="AE217" i="33"/>
  <c r="U217" i="33"/>
  <c r="AJ131" i="33"/>
  <c r="Y227" i="33"/>
  <c r="P227" i="33"/>
  <c r="P254" i="33"/>
  <c r="AJ97" i="33"/>
  <c r="Z97" i="33"/>
  <c r="AE97" i="33"/>
  <c r="U97" i="33"/>
  <c r="Q194" i="33"/>
  <c r="Q166" i="33"/>
  <c r="V126" i="33"/>
  <c r="AK126" i="33"/>
  <c r="AF126" i="33"/>
  <c r="AA126" i="33"/>
  <c r="AD90" i="33"/>
  <c r="P190" i="33"/>
  <c r="AJ122" i="33"/>
  <c r="Z122" i="33"/>
  <c r="U122" i="33"/>
  <c r="AE122" i="33"/>
  <c r="P162" i="33"/>
  <c r="R186" i="33"/>
  <c r="AG118" i="33"/>
  <c r="W118" i="33"/>
  <c r="AL118" i="33"/>
  <c r="R158" i="33"/>
  <c r="AB118" i="33"/>
  <c r="Y208" i="33"/>
  <c r="AD208" i="33"/>
  <c r="T208" i="33"/>
  <c r="AG251" i="33"/>
  <c r="W251" i="33"/>
  <c r="AB251" i="33"/>
  <c r="O189" i="33"/>
  <c r="O161" i="33"/>
  <c r="AI121" i="33"/>
  <c r="Y121" i="33"/>
  <c r="T121" i="33"/>
  <c r="AD121" i="33"/>
  <c r="Q185" i="33"/>
  <c r="Q157" i="33"/>
  <c r="AK117" i="33"/>
  <c r="AF117" i="33"/>
  <c r="AA117" i="33"/>
  <c r="V117" i="33"/>
  <c r="AL81" i="33"/>
  <c r="Q188" i="33"/>
  <c r="Q160" i="33"/>
  <c r="V120" i="33"/>
  <c r="AK120" i="33"/>
  <c r="AF120" i="33"/>
  <c r="AA120" i="33"/>
  <c r="AK110" i="33"/>
  <c r="AB225" i="33"/>
  <c r="AG225" i="33"/>
  <c r="W225" i="33"/>
  <c r="AD93" i="33"/>
  <c r="P221" i="33"/>
  <c r="P248" i="33"/>
  <c r="AJ91" i="33"/>
  <c r="Z91" i="33"/>
  <c r="AE91" i="33"/>
  <c r="U91" i="33"/>
  <c r="AD86" i="33"/>
  <c r="P186" i="33"/>
  <c r="AJ118" i="33"/>
  <c r="Z118" i="33"/>
  <c r="U118" i="33"/>
  <c r="P158" i="33"/>
  <c r="AE118" i="33"/>
  <c r="O183" i="33"/>
  <c r="O155" i="33"/>
  <c r="AI115" i="33"/>
  <c r="Y115" i="33"/>
  <c r="AD115" i="33"/>
  <c r="T115" i="33"/>
  <c r="AE75" i="33"/>
  <c r="AF253" i="33"/>
  <c r="V253" i="33"/>
  <c r="AA253" i="33"/>
  <c r="Y236" i="33"/>
  <c r="T236" i="33"/>
  <c r="AD236" i="33"/>
  <c r="AK95" i="33"/>
  <c r="AD224" i="33"/>
  <c r="T224" i="33"/>
  <c r="Y224" i="33"/>
  <c r="AJ88" i="33"/>
  <c r="AD95" i="33"/>
  <c r="R232" i="33"/>
  <c r="R205" i="33"/>
  <c r="AG75" i="33"/>
  <c r="W75" i="33"/>
  <c r="AL75" i="33"/>
  <c r="AB75" i="33"/>
  <c r="Y207" i="33"/>
  <c r="AD207" i="33"/>
  <c r="T207" i="33"/>
  <c r="Y243" i="33"/>
  <c r="AD243" i="33"/>
  <c r="T243" i="33"/>
  <c r="AK78" i="33"/>
  <c r="AF91" i="33"/>
  <c r="AK89" i="33"/>
  <c r="AE235" i="33"/>
  <c r="U235" i="33"/>
  <c r="Z235" i="33"/>
  <c r="AJ111" i="33"/>
  <c r="Z111" i="33"/>
  <c r="U111" i="33"/>
  <c r="P179" i="33"/>
  <c r="AE111" i="33"/>
  <c r="P151" i="33"/>
  <c r="AE231" i="33"/>
  <c r="U231" i="33"/>
  <c r="Z231" i="33"/>
  <c r="AA220" i="33"/>
  <c r="V220" i="33"/>
  <c r="AF220" i="33"/>
  <c r="AE81" i="33"/>
  <c r="AD215" i="33"/>
  <c r="T215" i="33"/>
  <c r="Y215" i="33"/>
  <c r="AJ85" i="33"/>
  <c r="W209" i="33"/>
  <c r="AG209" i="33"/>
  <c r="AB209" i="33"/>
  <c r="AF96" i="33"/>
  <c r="AI77" i="33"/>
  <c r="Y241" i="33"/>
  <c r="AD241" i="33"/>
  <c r="T241" i="33"/>
  <c r="AJ86" i="33"/>
  <c r="AK85" i="33"/>
  <c r="AK82" i="33"/>
  <c r="AE82" i="33"/>
  <c r="Y239" i="33"/>
  <c r="AD239" i="33"/>
  <c r="T239" i="33"/>
  <c r="AK80" i="33"/>
  <c r="AB223" i="33"/>
  <c r="W223" i="33"/>
  <c r="AG223" i="33"/>
  <c r="P198" i="33"/>
  <c r="P170" i="33"/>
  <c r="AE130" i="33"/>
  <c r="U130" i="33"/>
  <c r="Z130" i="33"/>
  <c r="AJ130" i="33"/>
  <c r="Q195" i="33"/>
  <c r="Q167" i="33"/>
  <c r="V127" i="33"/>
  <c r="AK127" i="33"/>
  <c r="AF127" i="33"/>
  <c r="AA127" i="33"/>
  <c r="AD220" i="33"/>
  <c r="T220" i="33"/>
  <c r="Y220" i="33"/>
  <c r="R187" i="33"/>
  <c r="AG119" i="33"/>
  <c r="W119" i="33"/>
  <c r="AL119" i="33"/>
  <c r="AB119" i="33"/>
  <c r="R159" i="33"/>
  <c r="AD235" i="33"/>
  <c r="T235" i="33"/>
  <c r="AB224" i="33"/>
  <c r="AG224" i="33"/>
  <c r="W224" i="33"/>
  <c r="O190" i="33"/>
  <c r="AI122" i="33"/>
  <c r="Y122" i="33"/>
  <c r="T122" i="33"/>
  <c r="O162" i="33"/>
  <c r="AD122" i="33"/>
  <c r="Q186" i="33"/>
  <c r="Q158" i="33"/>
  <c r="V118" i="33"/>
  <c r="AK118" i="33"/>
  <c r="AF118" i="33"/>
  <c r="AA118" i="33"/>
  <c r="P180" i="33"/>
  <c r="AJ112" i="33"/>
  <c r="Z112" i="33"/>
  <c r="P152" i="33"/>
  <c r="AE112" i="33"/>
  <c r="U112" i="33"/>
  <c r="Q189" i="33"/>
  <c r="Q161" i="33"/>
  <c r="V121" i="33"/>
  <c r="AK121" i="33"/>
  <c r="AF121" i="33"/>
  <c r="AA121" i="33"/>
  <c r="AD223" i="33"/>
  <c r="T223" i="33"/>
  <c r="Y223" i="33"/>
  <c r="P223" i="33"/>
  <c r="P250" i="33"/>
  <c r="AJ93" i="33"/>
  <c r="Z93" i="33"/>
  <c r="AE93" i="33"/>
  <c r="U93" i="33"/>
  <c r="P187" i="33"/>
  <c r="AJ119" i="33"/>
  <c r="Z119" i="33"/>
  <c r="P159" i="33"/>
  <c r="U119" i="33"/>
  <c r="AE119" i="33"/>
  <c r="P210" i="33"/>
  <c r="P237" i="33"/>
  <c r="AE80" i="33"/>
  <c r="U80" i="33"/>
  <c r="Z80" i="33"/>
  <c r="AJ80" i="33"/>
  <c r="AA226" i="33"/>
  <c r="V226" i="33"/>
  <c r="AF226" i="33"/>
  <c r="O178" i="33"/>
  <c r="T110" i="33"/>
  <c r="AI110" i="33"/>
  <c r="AD110" i="33"/>
  <c r="Y110" i="33"/>
  <c r="O150" i="33"/>
  <c r="Y251" i="33"/>
  <c r="AD251" i="33"/>
  <c r="T251" i="33"/>
  <c r="W213" i="33"/>
  <c r="AG213" i="33"/>
  <c r="AB213" i="33"/>
  <c r="AD75" i="33"/>
  <c r="Y205" i="33"/>
  <c r="AD205" i="33"/>
  <c r="T205" i="33"/>
  <c r="AD225" i="33"/>
  <c r="T225" i="33"/>
  <c r="Y225" i="33"/>
  <c r="W217" i="33"/>
  <c r="AG217" i="33"/>
  <c r="AB217" i="33"/>
  <c r="R231" i="33"/>
  <c r="R204" i="33"/>
  <c r="AG74" i="33"/>
  <c r="W74" i="33"/>
  <c r="AL74" i="33"/>
  <c r="AB74" i="33"/>
  <c r="Y234" i="33"/>
  <c r="T234" i="33"/>
  <c r="AD234" i="33"/>
  <c r="AF150" i="33"/>
  <c r="V150" i="33"/>
  <c r="AA150" i="33"/>
  <c r="AA204" i="33"/>
  <c r="AF204" i="33"/>
  <c r="V204" i="33"/>
  <c r="AF248" i="33"/>
  <c r="V248" i="33"/>
  <c r="AA248" i="33"/>
  <c r="AK76" i="33"/>
  <c r="Y242" i="33"/>
  <c r="T242" i="33"/>
  <c r="AD242" i="33"/>
  <c r="AG236" i="33"/>
  <c r="W236" i="33"/>
  <c r="AB236" i="33"/>
  <c r="AG208" i="33"/>
  <c r="W208" i="33"/>
  <c r="AB208" i="33"/>
  <c r="AE239" i="33"/>
  <c r="U239" i="33"/>
  <c r="Z239" i="33"/>
  <c r="AB222" i="33"/>
  <c r="W222" i="33"/>
  <c r="AG222" i="33"/>
  <c r="P191" i="33"/>
  <c r="AJ123" i="33"/>
  <c r="Z123" i="33"/>
  <c r="U123" i="33"/>
  <c r="P163" i="33"/>
  <c r="AE123" i="33"/>
  <c r="P197" i="33"/>
  <c r="P169" i="33"/>
  <c r="AE129" i="33"/>
  <c r="U129" i="33"/>
  <c r="Z129" i="33"/>
  <c r="AJ129" i="33"/>
  <c r="O197" i="33"/>
  <c r="O169" i="33"/>
  <c r="T129" i="33"/>
  <c r="AD129" i="33"/>
  <c r="AI129" i="33"/>
  <c r="Y129" i="33"/>
  <c r="Y247" i="33"/>
  <c r="AD247" i="33"/>
  <c r="T247" i="33"/>
  <c r="AG237" i="33"/>
  <c r="W237" i="33"/>
  <c r="AB237" i="33"/>
  <c r="AD218" i="33"/>
  <c r="T218" i="33"/>
  <c r="Y218" i="33"/>
  <c r="O191" i="33"/>
  <c r="O163" i="33"/>
  <c r="AI123" i="33"/>
  <c r="Y123" i="33"/>
  <c r="T123" i="33"/>
  <c r="AD123" i="33"/>
  <c r="Q187" i="33"/>
  <c r="Q159" i="33"/>
  <c r="V119" i="33"/>
  <c r="AK119" i="33"/>
  <c r="AF119" i="33"/>
  <c r="AA119" i="33"/>
  <c r="AJ113" i="33"/>
  <c r="Z113" i="33"/>
  <c r="P181" i="33"/>
  <c r="U113" i="33"/>
  <c r="AE113" i="33"/>
  <c r="P153" i="33"/>
  <c r="Q190" i="33"/>
  <c r="Q162" i="33"/>
  <c r="V122" i="33"/>
  <c r="AK122" i="33"/>
  <c r="AF122" i="33"/>
  <c r="AA122" i="33"/>
  <c r="Y250" i="33"/>
  <c r="AD250" i="33"/>
  <c r="T250" i="33"/>
  <c r="Q214" i="33"/>
  <c r="Q241" i="33"/>
  <c r="AF84" i="33"/>
  <c r="AA84" i="33"/>
  <c r="AK84" i="33"/>
  <c r="V84" i="33"/>
  <c r="O179" i="33"/>
  <c r="AI111" i="33"/>
  <c r="Y111" i="33"/>
  <c r="O151" i="33"/>
  <c r="AD111" i="33"/>
  <c r="T111" i="33"/>
  <c r="AJ92" i="33"/>
  <c r="O184" i="33"/>
  <c r="AI116" i="33"/>
  <c r="Y116" i="33"/>
  <c r="O156" i="33"/>
  <c r="AD116" i="33"/>
  <c r="T116" i="33"/>
  <c r="AG240" i="33"/>
  <c r="W240" i="33"/>
  <c r="AB240" i="33"/>
  <c r="AD74" i="33"/>
  <c r="Y232" i="33"/>
  <c r="T232" i="33"/>
  <c r="AD232" i="33"/>
  <c r="Y252" i="33"/>
  <c r="AD252" i="33"/>
  <c r="T252" i="33"/>
  <c r="AG244" i="33"/>
  <c r="W244" i="33"/>
  <c r="AB244" i="33"/>
  <c r="AL87" i="33"/>
  <c r="AL82" i="33"/>
  <c r="AL91" i="33"/>
  <c r="AL90" i="33"/>
  <c r="AL86" i="33"/>
  <c r="AL111" i="33"/>
  <c r="Q179" i="33"/>
  <c r="Q151" i="33"/>
  <c r="AA111" i="33"/>
  <c r="AK111" i="33"/>
  <c r="V111" i="33"/>
  <c r="AF111" i="33"/>
  <c r="AK91" i="33"/>
  <c r="P213" i="33"/>
  <c r="P240" i="33"/>
  <c r="U83" i="33"/>
  <c r="AE83" i="33"/>
  <c r="AJ83" i="33"/>
  <c r="Z83" i="33"/>
  <c r="AA208" i="33"/>
  <c r="AF208" i="33"/>
  <c r="V208" i="33"/>
  <c r="AF178" i="33"/>
  <c r="V178" i="33"/>
  <c r="AA178" i="33"/>
  <c r="AF231" i="33"/>
  <c r="V231" i="33"/>
  <c r="AA231" i="33"/>
  <c r="W211" i="33"/>
  <c r="AG211" i="33"/>
  <c r="AB211" i="33"/>
  <c r="AG254" i="33"/>
  <c r="W254" i="33"/>
  <c r="AB254" i="33"/>
  <c r="AL96" i="33"/>
  <c r="AA221" i="33"/>
  <c r="V221" i="33"/>
  <c r="AF221" i="33"/>
  <c r="R188" i="33"/>
  <c r="R160" i="33"/>
  <c r="AG120" i="33"/>
  <c r="W120" i="33"/>
  <c r="AL120" i="33"/>
  <c r="AB120" i="33"/>
  <c r="AE246" i="33"/>
  <c r="U246" i="33"/>
  <c r="Z246" i="33"/>
  <c r="AK97" i="33"/>
  <c r="AK83" i="33"/>
  <c r="AJ81" i="33"/>
  <c r="AA206" i="33"/>
  <c r="AF206" i="33"/>
  <c r="V206" i="33"/>
  <c r="AE242" i="33"/>
  <c r="U242" i="33"/>
  <c r="Z242" i="33"/>
  <c r="AK86" i="33"/>
  <c r="AG235" i="33"/>
  <c r="W235" i="33"/>
  <c r="AB235" i="33"/>
  <c r="AJ96" i="33"/>
  <c r="AE86" i="33"/>
  <c r="AF242" i="33"/>
  <c r="V242" i="33"/>
  <c r="AA242" i="33"/>
  <c r="Z212" i="33"/>
  <c r="AE212" i="33"/>
  <c r="U212" i="33"/>
  <c r="AK112" i="33"/>
  <c r="P196" i="33"/>
  <c r="P168" i="33"/>
  <c r="U168" i="33" s="1"/>
  <c r="AE128" i="33"/>
  <c r="U128" i="33"/>
  <c r="Z128" i="33"/>
  <c r="AJ128" i="33"/>
  <c r="O199" i="33"/>
  <c r="O171" i="33"/>
  <c r="AD131" i="33"/>
  <c r="T131" i="33"/>
  <c r="Y131" i="33"/>
  <c r="AI131" i="33"/>
  <c r="W210" i="33"/>
  <c r="AG210" i="33"/>
  <c r="AB210" i="33"/>
  <c r="Y245" i="33"/>
  <c r="AD245" i="33"/>
  <c r="T245" i="33"/>
  <c r="P182" i="33"/>
  <c r="AJ114" i="33"/>
  <c r="Z114" i="33"/>
  <c r="U114" i="33"/>
  <c r="P154" i="33"/>
  <c r="AE114" i="33"/>
  <c r="AG243" i="33"/>
  <c r="W243" i="33"/>
  <c r="AB243" i="33"/>
  <c r="AF252" i="33"/>
  <c r="V252" i="33"/>
  <c r="AA252" i="33"/>
  <c r="O185" i="33"/>
  <c r="AI117" i="33"/>
  <c r="Y117" i="33"/>
  <c r="T117" i="33"/>
  <c r="O157" i="33"/>
  <c r="AD117" i="33"/>
  <c r="O237" i="33"/>
  <c r="O210" i="33"/>
  <c r="T80" i="33"/>
  <c r="AD80" i="33"/>
  <c r="Y80" i="33"/>
  <c r="AI80" i="33"/>
  <c r="Q177" i="33"/>
  <c r="Q149" i="33"/>
  <c r="AA109" i="33"/>
  <c r="V109" i="33"/>
  <c r="AF109" i="33"/>
  <c r="AK109" i="33"/>
  <c r="AF235" i="33"/>
  <c r="V235" i="33"/>
  <c r="AA235" i="33"/>
  <c r="AG238" i="33"/>
  <c r="W238" i="33"/>
  <c r="AB238" i="33"/>
  <c r="AB227" i="33"/>
  <c r="W227" i="33"/>
  <c r="AG227" i="33"/>
  <c r="AG253" i="33"/>
  <c r="W253" i="33"/>
  <c r="AB253" i="33"/>
  <c r="R189" i="33"/>
  <c r="R161" i="33"/>
  <c r="AG121" i="33"/>
  <c r="W121" i="33"/>
  <c r="AL121" i="33"/>
  <c r="AB121" i="33"/>
  <c r="Z219" i="33"/>
  <c r="AE219" i="33"/>
  <c r="U219" i="33"/>
  <c r="AE209" i="33"/>
  <c r="Z209" i="33"/>
  <c r="U209" i="33"/>
  <c r="Z207" i="33"/>
  <c r="AE207" i="33"/>
  <c r="U207" i="33"/>
  <c r="Z205" i="33"/>
  <c r="AE205" i="33"/>
  <c r="U205" i="33"/>
  <c r="R192" i="33"/>
  <c r="R164" i="33"/>
  <c r="AG124" i="33"/>
  <c r="W124" i="33"/>
  <c r="AL124" i="33"/>
  <c r="AB124" i="33"/>
  <c r="AF233" i="33"/>
  <c r="V233" i="33"/>
  <c r="AA233" i="33"/>
  <c r="Z215" i="33"/>
  <c r="AE215" i="33"/>
  <c r="U215" i="33"/>
  <c r="Y206" i="33"/>
  <c r="AD206" i="33"/>
  <c r="T206" i="33"/>
  <c r="AA215" i="33"/>
  <c r="V215" i="33"/>
  <c r="AF215" i="33"/>
  <c r="AF239" i="33"/>
  <c r="V239" i="33"/>
  <c r="AA239" i="33"/>
  <c r="AF237" i="33"/>
  <c r="V237" i="33"/>
  <c r="AA237" i="33"/>
  <c r="O198" i="33"/>
  <c r="O170" i="33"/>
  <c r="Y130" i="33"/>
  <c r="AI130" i="33"/>
  <c r="AD130" i="33"/>
  <c r="T130" i="33"/>
  <c r="Z171" i="33"/>
  <c r="AE171" i="33"/>
  <c r="U171" i="33"/>
  <c r="AF238" i="33"/>
  <c r="V238" i="33"/>
  <c r="AA238" i="33"/>
  <c r="R178" i="33"/>
  <c r="R150" i="33"/>
  <c r="AB110" i="33"/>
  <c r="AL110" i="33"/>
  <c r="W110" i="33"/>
  <c r="AG110" i="33"/>
  <c r="R214" i="33"/>
  <c r="R241" i="33"/>
  <c r="AL84" i="33"/>
  <c r="AB84" i="33"/>
  <c r="AG84" i="33"/>
  <c r="W84" i="33"/>
  <c r="Q191" i="33"/>
  <c r="Q163" i="33"/>
  <c r="V123" i="33"/>
  <c r="AK123" i="33"/>
  <c r="AF123" i="33"/>
  <c r="AA123" i="33"/>
  <c r="O192" i="33"/>
  <c r="AI124" i="33"/>
  <c r="Y124" i="33"/>
  <c r="O164" i="33"/>
  <c r="T124" i="33"/>
  <c r="AD124" i="33"/>
  <c r="P192" i="33"/>
  <c r="AJ124" i="33"/>
  <c r="Z124" i="33"/>
  <c r="P164" i="33"/>
  <c r="U124" i="33"/>
  <c r="AE124" i="33"/>
  <c r="AE199" i="33"/>
  <c r="U199" i="33"/>
  <c r="Z199" i="33"/>
  <c r="O196" i="33"/>
  <c r="O168" i="33"/>
  <c r="T168" i="33" s="1"/>
  <c r="Y128" i="33"/>
  <c r="T128" i="33"/>
  <c r="AI128" i="33"/>
  <c r="AD128" i="33"/>
  <c r="AG250" i="33"/>
  <c r="W250" i="33"/>
  <c r="AB250" i="33"/>
  <c r="AL92" i="33"/>
  <c r="AF246" i="33"/>
  <c r="V246" i="33"/>
  <c r="AA246" i="33"/>
  <c r="W215" i="33"/>
  <c r="AG215" i="33"/>
  <c r="AB215" i="33"/>
  <c r="AA211" i="33"/>
  <c r="V211" i="33"/>
  <c r="AF211" i="33"/>
  <c r="R180" i="33"/>
  <c r="R152" i="33"/>
  <c r="AG112" i="33"/>
  <c r="AL112" i="33"/>
  <c r="AB112" i="33"/>
  <c r="W112" i="33"/>
  <c r="O253" i="33"/>
  <c r="O226" i="33"/>
  <c r="AI96" i="33"/>
  <c r="Y96" i="33"/>
  <c r="T96" i="33"/>
  <c r="AD96" i="33"/>
  <c r="AD89" i="33"/>
  <c r="AK87" i="33"/>
  <c r="AJ115" i="33"/>
  <c r="Z115" i="33"/>
  <c r="U115" i="33"/>
  <c r="P183" i="33"/>
  <c r="AE115" i="33"/>
  <c r="P155" i="33"/>
  <c r="AL95" i="33"/>
  <c r="AF251" i="33"/>
  <c r="V251" i="33"/>
  <c r="AA251" i="33"/>
  <c r="O193" i="33"/>
  <c r="O165" i="33"/>
  <c r="AI125" i="33"/>
  <c r="Y125" i="33"/>
  <c r="T125" i="33"/>
  <c r="AD125" i="33"/>
  <c r="W216" i="33"/>
  <c r="AG216" i="33"/>
  <c r="AB216" i="33"/>
  <c r="AK81" i="33"/>
  <c r="AI89" i="33"/>
  <c r="AI86" i="33"/>
  <c r="AA225" i="33"/>
  <c r="AF225" i="33"/>
  <c r="V225" i="33"/>
  <c r="AE92" i="33"/>
  <c r="O186" i="33"/>
  <c r="AI118" i="33"/>
  <c r="Y118" i="33"/>
  <c r="T118" i="33"/>
  <c r="O158" i="33"/>
  <c r="AD118" i="33"/>
  <c r="R177" i="33"/>
  <c r="R149" i="33"/>
  <c r="AL109" i="33"/>
  <c r="W109" i="33"/>
  <c r="AG109" i="33"/>
  <c r="AB109" i="33"/>
  <c r="R234" i="33"/>
  <c r="R207" i="33"/>
  <c r="AG77" i="33"/>
  <c r="W77" i="33"/>
  <c r="AL77" i="33"/>
  <c r="AB77" i="33"/>
  <c r="AF90" i="33"/>
  <c r="R196" i="33"/>
  <c r="R168" i="33"/>
  <c r="W168" i="33" s="1"/>
  <c r="AL128" i="33"/>
  <c r="W128" i="33"/>
  <c r="AG128" i="33"/>
  <c r="AB128" i="33"/>
  <c r="AE87" i="33"/>
  <c r="AK79" i="33"/>
  <c r="AI78" i="33"/>
  <c r="Q196" i="33"/>
  <c r="Q168" i="33"/>
  <c r="V168" i="33" s="1"/>
  <c r="AA128" i="33"/>
  <c r="AK128" i="33"/>
  <c r="V128" i="33"/>
  <c r="AF128" i="33"/>
  <c r="AB226" i="33"/>
  <c r="W226" i="33"/>
  <c r="AG226" i="33"/>
  <c r="R190" i="33"/>
  <c r="R162" i="33"/>
  <c r="AG122" i="33"/>
  <c r="W122" i="33"/>
  <c r="AL122" i="33"/>
  <c r="AB122" i="33"/>
  <c r="AE244" i="33"/>
  <c r="U244" i="33"/>
  <c r="Z244" i="33"/>
  <c r="AE234" i="33"/>
  <c r="U234" i="33"/>
  <c r="Z234" i="33"/>
  <c r="AE232" i="33"/>
  <c r="U232" i="33"/>
  <c r="Z232" i="33"/>
  <c r="R193" i="33"/>
  <c r="R165" i="33"/>
  <c r="AG125" i="33"/>
  <c r="W125" i="33"/>
  <c r="AL125" i="33"/>
  <c r="AB125" i="33"/>
  <c r="AF83" i="33"/>
  <c r="AI85" i="33"/>
  <c r="Z206" i="33"/>
  <c r="AE206" i="33"/>
  <c r="U206" i="33"/>
  <c r="Y233" i="33"/>
  <c r="AD233" i="33"/>
  <c r="T233" i="33"/>
  <c r="AE96" i="33"/>
  <c r="AE243" i="33"/>
  <c r="U243" i="33"/>
  <c r="Z243" i="33"/>
  <c r="AA212" i="33"/>
  <c r="V212" i="33"/>
  <c r="AF212" i="33"/>
  <c r="AA210" i="33"/>
  <c r="V210" i="33"/>
  <c r="AF210" i="33"/>
  <c r="P124" i="32"/>
  <c r="Q129" i="32"/>
  <c r="Q197" i="32" s="1"/>
  <c r="O96" i="32"/>
  <c r="AD96" i="32" s="1"/>
  <c r="R93" i="32"/>
  <c r="W93" i="32" s="1"/>
  <c r="O76" i="32"/>
  <c r="U95" i="32"/>
  <c r="AD95" i="32"/>
  <c r="AE75" i="32"/>
  <c r="O118" i="32"/>
  <c r="O123" i="32"/>
  <c r="O191" i="32" s="1"/>
  <c r="P123" i="32"/>
  <c r="P163" i="32" s="1"/>
  <c r="P76" i="32"/>
  <c r="R88" i="32"/>
  <c r="R96" i="32"/>
  <c r="Q76" i="32"/>
  <c r="AA76" i="32" s="1"/>
  <c r="O80" i="32"/>
  <c r="Y80" i="32" s="1"/>
  <c r="O92" i="32"/>
  <c r="AD92" i="32" s="1"/>
  <c r="R77" i="32"/>
  <c r="R234" i="32" s="1"/>
  <c r="P81" i="32"/>
  <c r="U81" i="32" s="1"/>
  <c r="P91" i="32"/>
  <c r="Q80" i="32"/>
  <c r="O84" i="32"/>
  <c r="O214" i="32" s="1"/>
  <c r="P77" i="32"/>
  <c r="Z77" i="32" s="1"/>
  <c r="Q82" i="32"/>
  <c r="Q239" i="32" s="1"/>
  <c r="R85" i="32"/>
  <c r="AB85" i="32" s="1"/>
  <c r="AA86" i="32"/>
  <c r="O81" i="32"/>
  <c r="AI81" i="32" s="1"/>
  <c r="Q81" i="32"/>
  <c r="Q238" i="32" s="1"/>
  <c r="O97" i="32"/>
  <c r="AD97" i="32" s="1"/>
  <c r="O94" i="32"/>
  <c r="Y94" i="32" s="1"/>
  <c r="O206" i="32"/>
  <c r="O233" i="32"/>
  <c r="AI76" i="32"/>
  <c r="Y76" i="32"/>
  <c r="AD76" i="32"/>
  <c r="T76" i="32"/>
  <c r="T84" i="32"/>
  <c r="AD84" i="32"/>
  <c r="Y84" i="32"/>
  <c r="AI84" i="32"/>
  <c r="Q241" i="32"/>
  <c r="Q214" i="32"/>
  <c r="V84" i="32"/>
  <c r="AF84" i="32"/>
  <c r="AA84" i="32"/>
  <c r="R241" i="32"/>
  <c r="R214" i="32"/>
  <c r="AG84" i="32"/>
  <c r="AB84" i="32"/>
  <c r="AL84" i="32"/>
  <c r="W84" i="32"/>
  <c r="T92" i="32"/>
  <c r="R253" i="32"/>
  <c r="R226" i="32"/>
  <c r="W96" i="32"/>
  <c r="AG96" i="32"/>
  <c r="AB96" i="32"/>
  <c r="AL96" i="32"/>
  <c r="Q237" i="32"/>
  <c r="Q210" i="32"/>
  <c r="AA80" i="32"/>
  <c r="V80" i="32"/>
  <c r="AF80" i="32"/>
  <c r="P233" i="32"/>
  <c r="P206" i="32"/>
  <c r="Z76" i="32"/>
  <c r="AE76" i="32"/>
  <c r="U76" i="32"/>
  <c r="R236" i="32"/>
  <c r="R209" i="32"/>
  <c r="AL79" i="32"/>
  <c r="AB79" i="32"/>
  <c r="AG79" i="32"/>
  <c r="W79" i="32"/>
  <c r="Q242" i="32"/>
  <c r="Q215" i="32"/>
  <c r="AA85" i="32"/>
  <c r="V85" i="32"/>
  <c r="AF85" i="32"/>
  <c r="R76" i="32"/>
  <c r="R80" i="32"/>
  <c r="Q211" i="32"/>
  <c r="O216" i="32"/>
  <c r="O243" i="32"/>
  <c r="AI86" i="32"/>
  <c r="Y86" i="32"/>
  <c r="P246" i="32"/>
  <c r="P219" i="32"/>
  <c r="Z89" i="32"/>
  <c r="AE89" i="32"/>
  <c r="U89" i="32"/>
  <c r="R245" i="32"/>
  <c r="R218" i="32"/>
  <c r="AG88" i="32"/>
  <c r="W88" i="32"/>
  <c r="Z123" i="32"/>
  <c r="U123" i="32"/>
  <c r="P251" i="32"/>
  <c r="P224" i="32"/>
  <c r="U94" i="32"/>
  <c r="AE94" i="32"/>
  <c r="Z94" i="32"/>
  <c r="R252" i="32"/>
  <c r="R225" i="32"/>
  <c r="AB95" i="32"/>
  <c r="AL95" i="32"/>
  <c r="W95" i="32"/>
  <c r="AG95" i="32"/>
  <c r="O178" i="32"/>
  <c r="AD110" i="32"/>
  <c r="Y110" i="32"/>
  <c r="T110" i="32"/>
  <c r="O74" i="32"/>
  <c r="O75" i="32"/>
  <c r="O111" i="32"/>
  <c r="O109" i="32"/>
  <c r="O77" i="32"/>
  <c r="O78" i="32"/>
  <c r="O79" i="32"/>
  <c r="Q115" i="32"/>
  <c r="Q114" i="32"/>
  <c r="Q113" i="32"/>
  <c r="Q112" i="32"/>
  <c r="R81" i="32"/>
  <c r="AG82" i="32"/>
  <c r="O83" i="32"/>
  <c r="Q243" i="32"/>
  <c r="Q216" i="32"/>
  <c r="AF86" i="32"/>
  <c r="V86" i="32"/>
  <c r="Q88" i="32"/>
  <c r="Q121" i="32"/>
  <c r="Q120" i="32"/>
  <c r="Q122" i="32"/>
  <c r="Q123" i="32"/>
  <c r="P97" i="32"/>
  <c r="O150" i="32"/>
  <c r="AJ89" i="32"/>
  <c r="Z75" i="32"/>
  <c r="P236" i="32"/>
  <c r="P209" i="32"/>
  <c r="R115" i="32"/>
  <c r="R114" i="32"/>
  <c r="R113" i="32"/>
  <c r="R112" i="32"/>
  <c r="W82" i="32"/>
  <c r="O186" i="32"/>
  <c r="AD118" i="32"/>
  <c r="O158" i="32"/>
  <c r="Y118" i="32"/>
  <c r="T118" i="32"/>
  <c r="AK81" i="32"/>
  <c r="Q74" i="32"/>
  <c r="Q75" i="32"/>
  <c r="Q111" i="32"/>
  <c r="Q110" i="32"/>
  <c r="Q109" i="32"/>
  <c r="Q108" i="32"/>
  <c r="Q77" i="32"/>
  <c r="Q78" i="32"/>
  <c r="Q79" i="32"/>
  <c r="AF81" i="32"/>
  <c r="R83" i="32"/>
  <c r="P85" i="32"/>
  <c r="P83" i="32"/>
  <c r="P82" i="32"/>
  <c r="P84" i="32"/>
  <c r="AB88" i="32"/>
  <c r="P248" i="32"/>
  <c r="P221" i="32"/>
  <c r="Z91" i="32"/>
  <c r="AE91" i="32"/>
  <c r="U91" i="32"/>
  <c r="O108" i="32"/>
  <c r="AA165" i="32"/>
  <c r="AF165" i="32"/>
  <c r="V165" i="32"/>
  <c r="P234" i="32"/>
  <c r="P235" i="32"/>
  <c r="P208" i="32"/>
  <c r="T86" i="32"/>
  <c r="O91" i="32"/>
  <c r="O90" i="32"/>
  <c r="O93" i="32"/>
  <c r="P130" i="32"/>
  <c r="P128" i="32"/>
  <c r="P129" i="32"/>
  <c r="P131" i="32"/>
  <c r="AI110" i="32"/>
  <c r="R74" i="32"/>
  <c r="R75" i="32"/>
  <c r="R111" i="32"/>
  <c r="R110" i="32"/>
  <c r="R109" i="32"/>
  <c r="R108" i="32"/>
  <c r="R78" i="32"/>
  <c r="V81" i="32"/>
  <c r="O82" i="32"/>
  <c r="AL82" i="32"/>
  <c r="O119" i="32"/>
  <c r="O117" i="32"/>
  <c r="O85" i="32"/>
  <c r="AD94" i="32"/>
  <c r="O225" i="32"/>
  <c r="O252" i="32"/>
  <c r="Y95" i="32"/>
  <c r="AI95" i="32"/>
  <c r="T95" i="32"/>
  <c r="O226" i="32"/>
  <c r="P96" i="32"/>
  <c r="AI118" i="32"/>
  <c r="P231" i="32"/>
  <c r="P204" i="32"/>
  <c r="P111" i="32"/>
  <c r="P110" i="32"/>
  <c r="P109" i="32"/>
  <c r="P108" i="32"/>
  <c r="Z78" i="32"/>
  <c r="Z79" i="32"/>
  <c r="Q240" i="32"/>
  <c r="Q213" i="32"/>
  <c r="R89" i="32"/>
  <c r="R87" i="32"/>
  <c r="R86" i="32"/>
  <c r="Q247" i="32"/>
  <c r="Q220" i="32"/>
  <c r="AF90" i="32"/>
  <c r="V90" i="32"/>
  <c r="AF83" i="32"/>
  <c r="AA90" i="32"/>
  <c r="Q248" i="32"/>
  <c r="Q221" i="32"/>
  <c r="AF91" i="32"/>
  <c r="V91" i="32"/>
  <c r="R250" i="32"/>
  <c r="R223" i="32"/>
  <c r="AB93" i="32"/>
  <c r="AL93" i="32"/>
  <c r="AG93" i="32"/>
  <c r="P252" i="32"/>
  <c r="P225" i="32"/>
  <c r="Z95" i="32"/>
  <c r="AE95" i="32"/>
  <c r="O254" i="32"/>
  <c r="Y97" i="32"/>
  <c r="T97" i="32"/>
  <c r="O116" i="32"/>
  <c r="O193" i="32"/>
  <c r="O165" i="32"/>
  <c r="AD125" i="32"/>
  <c r="T125" i="32"/>
  <c r="Y125" i="32"/>
  <c r="AI125" i="32"/>
  <c r="U74" i="32"/>
  <c r="AE74" i="32"/>
  <c r="U75" i="32"/>
  <c r="U78" i="32"/>
  <c r="AE78" i="32"/>
  <c r="U79" i="32"/>
  <c r="AE79" i="32"/>
  <c r="P238" i="32"/>
  <c r="P80" i="32"/>
  <c r="R239" i="32"/>
  <c r="R212" i="32"/>
  <c r="V83" i="32"/>
  <c r="Q119" i="32"/>
  <c r="Q118" i="32"/>
  <c r="Q117" i="32"/>
  <c r="Q116" i="32"/>
  <c r="AD86" i="32"/>
  <c r="Q244" i="32"/>
  <c r="Q217" i="32"/>
  <c r="AF87" i="32"/>
  <c r="V87" i="32"/>
  <c r="AL88" i="32"/>
  <c r="P232" i="32"/>
  <c r="P205" i="32"/>
  <c r="O114" i="32"/>
  <c r="O112" i="32"/>
  <c r="O115" i="32"/>
  <c r="O113" i="32"/>
  <c r="AA81" i="32"/>
  <c r="R119" i="32"/>
  <c r="R118" i="32"/>
  <c r="R117" i="32"/>
  <c r="R116" i="32"/>
  <c r="O89" i="32"/>
  <c r="O87" i="32"/>
  <c r="O88" i="32"/>
  <c r="AI123" i="32"/>
  <c r="Q246" i="32"/>
  <c r="Q219" i="32"/>
  <c r="AF89" i="32"/>
  <c r="V89" i="32"/>
  <c r="Z93" i="32"/>
  <c r="R97" i="32"/>
  <c r="R94" i="32"/>
  <c r="P164" i="32"/>
  <c r="P192" i="32"/>
  <c r="Z124" i="32"/>
  <c r="U124" i="32"/>
  <c r="R123" i="32"/>
  <c r="R121" i="32"/>
  <c r="R120" i="32"/>
  <c r="R122" i="32"/>
  <c r="R90" i="32"/>
  <c r="R91" i="32"/>
  <c r="Q97" i="32"/>
  <c r="Q95" i="32"/>
  <c r="Q94" i="32"/>
  <c r="Q96" i="32"/>
  <c r="O129" i="32"/>
  <c r="O130" i="32"/>
  <c r="O131" i="32"/>
  <c r="O128" i="32"/>
  <c r="AE123" i="32"/>
  <c r="O121" i="32"/>
  <c r="P88" i="32"/>
  <c r="P92" i="32"/>
  <c r="Q193" i="32"/>
  <c r="AF125" i="32"/>
  <c r="V125" i="32"/>
  <c r="Q93" i="32"/>
  <c r="Q92" i="32"/>
  <c r="O126" i="32"/>
  <c r="O127" i="32"/>
  <c r="R131" i="32"/>
  <c r="R128" i="32"/>
  <c r="R129" i="32"/>
  <c r="O120" i="32"/>
  <c r="AA125" i="32"/>
  <c r="Q194" i="32"/>
  <c r="AA126" i="32"/>
  <c r="Q166" i="32"/>
  <c r="V126" i="32"/>
  <c r="R92" i="32"/>
  <c r="P126" i="32"/>
  <c r="P125" i="32"/>
  <c r="P250" i="32"/>
  <c r="P223" i="32"/>
  <c r="P127" i="32"/>
  <c r="AD123" i="32"/>
  <c r="T123" i="32"/>
  <c r="Y123" i="32"/>
  <c r="O122" i="32"/>
  <c r="V129" i="32"/>
  <c r="R130" i="32"/>
  <c r="P115" i="32"/>
  <c r="P114" i="32"/>
  <c r="P113" i="32"/>
  <c r="P112" i="32"/>
  <c r="P119" i="32"/>
  <c r="P118" i="32"/>
  <c r="P117" i="32"/>
  <c r="P116" i="32"/>
  <c r="P86" i="32"/>
  <c r="P87" i="32"/>
  <c r="P121" i="32"/>
  <c r="P120" i="32"/>
  <c r="P122" i="32"/>
  <c r="P90" i="32"/>
  <c r="R127" i="32"/>
  <c r="R125" i="32"/>
  <c r="R126" i="32"/>
  <c r="R124" i="32"/>
  <c r="AE93" i="32"/>
  <c r="O124" i="32"/>
  <c r="AF126" i="32"/>
  <c r="Q127" i="32"/>
  <c r="Q124" i="32"/>
  <c r="Q130" i="32"/>
  <c r="Q131" i="32"/>
  <c r="Q128" i="32"/>
  <c r="I52" i="31"/>
  <c r="O141" i="31"/>
  <c r="J52" i="31"/>
  <c r="Q60" i="31"/>
  <c r="P83" i="31"/>
  <c r="P123" i="31"/>
  <c r="P80" i="31"/>
  <c r="P130" i="31"/>
  <c r="I48" i="31"/>
  <c r="I79" i="31" s="1"/>
  <c r="I50" i="31"/>
  <c r="K139" i="31"/>
  <c r="O82" i="31"/>
  <c r="O80" i="31"/>
  <c r="O81" i="31"/>
  <c r="O48" i="31"/>
  <c r="K128" i="31"/>
  <c r="L135" i="31"/>
  <c r="K135" i="31"/>
  <c r="L173" i="31"/>
  <c r="O173" i="31" s="1"/>
  <c r="L172" i="31"/>
  <c r="O172" i="31" s="1"/>
  <c r="L171" i="31"/>
  <c r="O171" i="31" s="1"/>
  <c r="Q140" i="31"/>
  <c r="K126" i="31"/>
  <c r="O123" i="31"/>
  <c r="O121" i="31"/>
  <c r="O122" i="31"/>
  <c r="K122" i="31"/>
  <c r="O124" i="31"/>
  <c r="K131" i="31"/>
  <c r="L52" i="31"/>
  <c r="L53" i="31" s="1"/>
  <c r="L48" i="31"/>
  <c r="L79" i="31" s="1"/>
  <c r="R140" i="31"/>
  <c r="J48" i="31"/>
  <c r="J79" i="31" s="1"/>
  <c r="J50" i="31"/>
  <c r="J53" i="31" s="1"/>
  <c r="O139" i="31"/>
  <c r="O120" i="31"/>
  <c r="P124" i="31"/>
  <c r="Q82" i="31"/>
  <c r="P139" i="31"/>
  <c r="P141" i="31"/>
  <c r="P48" i="31"/>
  <c r="Q121" i="31"/>
  <c r="Q122" i="31"/>
  <c r="Q124" i="31"/>
  <c r="R82" i="31"/>
  <c r="Q139" i="31"/>
  <c r="Q141" i="31"/>
  <c r="Q48" i="31"/>
  <c r="K50" i="31"/>
  <c r="K53" i="31" s="1"/>
  <c r="R121" i="31"/>
  <c r="R124" i="31"/>
  <c r="O83" i="31"/>
  <c r="R139" i="31"/>
  <c r="R141" i="31"/>
  <c r="L119" i="31"/>
  <c r="R48" i="31"/>
  <c r="P81" i="31"/>
  <c r="O138" i="31"/>
  <c r="O140" i="31"/>
  <c r="O119" i="31"/>
  <c r="Q81" i="31"/>
  <c r="Q83" i="31"/>
  <c r="Q131" i="31" s="1"/>
  <c r="P138" i="31"/>
  <c r="P140" i="31"/>
  <c r="P131" i="31"/>
  <c r="Q123" i="31"/>
  <c r="Q80" i="31"/>
  <c r="R81" i="31"/>
  <c r="R83" i="31"/>
  <c r="R131" i="31" s="1"/>
  <c r="Q138" i="31"/>
  <c r="R123" i="31"/>
  <c r="R80" i="31"/>
  <c r="R138" i="31"/>
  <c r="I52" i="30"/>
  <c r="R83" i="30"/>
  <c r="I51" i="30"/>
  <c r="J51" i="30"/>
  <c r="K52" i="30"/>
  <c r="L52" i="30"/>
  <c r="L51" i="30"/>
  <c r="L173" i="30"/>
  <c r="O173" i="30" s="1"/>
  <c r="L172" i="30"/>
  <c r="O172" i="30" s="1"/>
  <c r="L171" i="30"/>
  <c r="O171" i="30" s="1"/>
  <c r="I50" i="30"/>
  <c r="I53" i="30" s="1"/>
  <c r="I48" i="30"/>
  <c r="I79" i="30" s="1"/>
  <c r="P140" i="30"/>
  <c r="Q50" i="30"/>
  <c r="Q140" i="30"/>
  <c r="K139" i="30"/>
  <c r="L50" i="30"/>
  <c r="L48" i="30"/>
  <c r="L79" i="30" s="1"/>
  <c r="O50" i="30"/>
  <c r="R50" i="30"/>
  <c r="R59" i="30"/>
  <c r="R57" i="30"/>
  <c r="K50" i="30"/>
  <c r="P50" i="30"/>
  <c r="O26" i="30"/>
  <c r="O48" i="30" s="1"/>
  <c r="Q31" i="30"/>
  <c r="Q141" i="30" s="1"/>
  <c r="R51" i="30"/>
  <c r="O121" i="30"/>
  <c r="O122" i="30"/>
  <c r="L122" i="30" s="1"/>
  <c r="P82" i="30"/>
  <c r="O139" i="30"/>
  <c r="O141" i="30"/>
  <c r="K122" i="30"/>
  <c r="K128" i="30"/>
  <c r="K135" i="30"/>
  <c r="P26" i="30"/>
  <c r="R31" i="30"/>
  <c r="R140" i="30" s="1"/>
  <c r="O52" i="30"/>
  <c r="Q56" i="30"/>
  <c r="P121" i="30"/>
  <c r="P122" i="30"/>
  <c r="P124" i="30"/>
  <c r="Q82" i="30"/>
  <c r="P139" i="30"/>
  <c r="P141" i="30"/>
  <c r="Q26" i="30"/>
  <c r="Q48" i="30" s="1"/>
  <c r="P52" i="30"/>
  <c r="Q121" i="30"/>
  <c r="Q122" i="30"/>
  <c r="Q124" i="30"/>
  <c r="R82" i="30"/>
  <c r="Q139" i="30"/>
  <c r="O124" i="30"/>
  <c r="R26" i="30"/>
  <c r="J31" i="30"/>
  <c r="J52" i="30" s="1"/>
  <c r="J53" i="30" s="1"/>
  <c r="Q52" i="30"/>
  <c r="O57" i="30"/>
  <c r="R121" i="30"/>
  <c r="R122" i="30"/>
  <c r="R124" i="30"/>
  <c r="O81" i="30"/>
  <c r="O83" i="30"/>
  <c r="R139" i="30"/>
  <c r="R141" i="30"/>
  <c r="O176" i="30"/>
  <c r="R52" i="30"/>
  <c r="P57" i="30"/>
  <c r="O58" i="30"/>
  <c r="O80" i="30"/>
  <c r="P81" i="30"/>
  <c r="P83" i="30"/>
  <c r="L135" i="30"/>
  <c r="O138" i="30"/>
  <c r="O140" i="30"/>
  <c r="Q57" i="30"/>
  <c r="P58" i="30"/>
  <c r="P123" i="30"/>
  <c r="P80" i="30"/>
  <c r="Q81" i="30"/>
  <c r="Q83" i="30"/>
  <c r="P138" i="30"/>
  <c r="O177" i="30"/>
  <c r="K26" i="30"/>
  <c r="K51" i="30" s="1"/>
  <c r="Q123" i="30"/>
  <c r="Q80" i="30"/>
  <c r="R81" i="30"/>
  <c r="Q138" i="30"/>
  <c r="O123" i="30"/>
  <c r="R123" i="30"/>
  <c r="R80" i="30"/>
  <c r="R138" i="30"/>
  <c r="K108" i="15"/>
  <c r="L108" i="15"/>
  <c r="M108" i="15"/>
  <c r="R108" i="15" s="1"/>
  <c r="R148" i="15" s="1"/>
  <c r="AG148" i="15" s="1"/>
  <c r="K109" i="15"/>
  <c r="L109" i="15"/>
  <c r="M109" i="15"/>
  <c r="K110" i="15"/>
  <c r="L110" i="15"/>
  <c r="M110" i="15"/>
  <c r="K111" i="15"/>
  <c r="L111" i="15"/>
  <c r="M111" i="15"/>
  <c r="J108" i="15"/>
  <c r="O108" i="15" s="1"/>
  <c r="K82" i="15"/>
  <c r="P82" i="15" s="1"/>
  <c r="L82" i="15"/>
  <c r="Q82" i="15" s="1"/>
  <c r="M82" i="15"/>
  <c r="R82" i="15" s="1"/>
  <c r="K83" i="15"/>
  <c r="L83" i="15"/>
  <c r="M83" i="15"/>
  <c r="K84" i="15"/>
  <c r="L84" i="15"/>
  <c r="M84" i="15"/>
  <c r="K85" i="15"/>
  <c r="L85" i="15"/>
  <c r="M85" i="15"/>
  <c r="J83" i="15"/>
  <c r="J84" i="15"/>
  <c r="J85" i="15"/>
  <c r="J82" i="15"/>
  <c r="O82" i="15" s="1"/>
  <c r="O239" i="15" s="1"/>
  <c r="Y239" i="15" s="1"/>
  <c r="AG230" i="15"/>
  <c r="AF230" i="15"/>
  <c r="AE230" i="15"/>
  <c r="AD230" i="15"/>
  <c r="AF203" i="15"/>
  <c r="AG203" i="15"/>
  <c r="AE203" i="15"/>
  <c r="AD203" i="15"/>
  <c r="AG175" i="15"/>
  <c r="AF175" i="15"/>
  <c r="AE175" i="15"/>
  <c r="AD175" i="15"/>
  <c r="AG147" i="15"/>
  <c r="AF147" i="15"/>
  <c r="AE147" i="15"/>
  <c r="AD147" i="15"/>
  <c r="J124" i="15"/>
  <c r="O124" i="15" s="1"/>
  <c r="K124" i="15"/>
  <c r="P124" i="15" s="1"/>
  <c r="Z124" i="15" s="1"/>
  <c r="L124" i="15"/>
  <c r="Q124" i="15" s="1"/>
  <c r="Q164" i="15" s="1"/>
  <c r="AA164" i="15" s="1"/>
  <c r="M124" i="15"/>
  <c r="R124" i="15" s="1"/>
  <c r="R164" i="15" s="1"/>
  <c r="J128" i="15"/>
  <c r="O128" i="15" s="1"/>
  <c r="K128" i="15"/>
  <c r="P128" i="15" s="1"/>
  <c r="P168" i="15" s="1"/>
  <c r="U168" i="15" s="1"/>
  <c r="L128" i="15"/>
  <c r="Q128" i="15" s="1"/>
  <c r="AK128" i="15" s="1"/>
  <c r="M128" i="15"/>
  <c r="R128" i="15" s="1"/>
  <c r="AG128" i="15" s="1"/>
  <c r="J120" i="15"/>
  <c r="O120" i="15" s="1"/>
  <c r="T120" i="15" s="1"/>
  <c r="K120" i="15"/>
  <c r="P120" i="15" s="1"/>
  <c r="P160" i="15" s="1"/>
  <c r="U160" i="15" s="1"/>
  <c r="L120" i="15"/>
  <c r="Q120" i="15" s="1"/>
  <c r="Q160" i="15" s="1"/>
  <c r="V160" i="15" s="1"/>
  <c r="M120" i="15"/>
  <c r="R120" i="15" s="1"/>
  <c r="R160" i="15" s="1"/>
  <c r="J116" i="15"/>
  <c r="O116" i="15" s="1"/>
  <c r="K116" i="15"/>
  <c r="P116" i="15" s="1"/>
  <c r="P156" i="15" s="1"/>
  <c r="L116" i="15"/>
  <c r="Q116" i="15" s="1"/>
  <c r="Q156" i="15" s="1"/>
  <c r="AA156" i="15" s="1"/>
  <c r="M116" i="15"/>
  <c r="R116" i="15" s="1"/>
  <c r="R156" i="15" s="1"/>
  <c r="AG156" i="15" s="1"/>
  <c r="J112" i="15"/>
  <c r="O112" i="15" s="1"/>
  <c r="K112" i="15"/>
  <c r="P112" i="15" s="1"/>
  <c r="P152" i="15" s="1"/>
  <c r="L112" i="15"/>
  <c r="Q112" i="15" s="1"/>
  <c r="Q152" i="15" s="1"/>
  <c r="M112" i="15"/>
  <c r="R112" i="15" s="1"/>
  <c r="R152" i="15" s="1"/>
  <c r="P108" i="15"/>
  <c r="P148" i="15" s="1"/>
  <c r="U148" i="15" s="1"/>
  <c r="Q108" i="15"/>
  <c r="Q148" i="15" s="1"/>
  <c r="AA148" i="15" s="1"/>
  <c r="R78" i="15"/>
  <c r="R208" i="15" s="1"/>
  <c r="K94" i="15"/>
  <c r="P94" i="15" s="1"/>
  <c r="P251" i="15" s="1"/>
  <c r="L94" i="15"/>
  <c r="Q94" i="15" s="1"/>
  <c r="M94" i="15"/>
  <c r="R94" i="15" s="1"/>
  <c r="J94" i="15"/>
  <c r="O94" i="15" s="1"/>
  <c r="K90" i="15"/>
  <c r="P90" i="15" s="1"/>
  <c r="L90" i="15"/>
  <c r="Q90" i="15" s="1"/>
  <c r="M90" i="15"/>
  <c r="R90" i="15" s="1"/>
  <c r="J90" i="15"/>
  <c r="O90" i="15" s="1"/>
  <c r="O220" i="15" s="1"/>
  <c r="K86" i="15"/>
  <c r="P86" i="15" s="1"/>
  <c r="P216" i="15" s="1"/>
  <c r="L86" i="15"/>
  <c r="Q86" i="15" s="1"/>
  <c r="M86" i="15"/>
  <c r="R86" i="15" s="1"/>
  <c r="J86" i="15"/>
  <c r="O86" i="15" s="1"/>
  <c r="K78" i="15"/>
  <c r="P78" i="15" s="1"/>
  <c r="P235" i="15" s="1"/>
  <c r="L78" i="15"/>
  <c r="Q78" i="15" s="1"/>
  <c r="M78" i="15"/>
  <c r="J78" i="15"/>
  <c r="O78" i="15" s="1"/>
  <c r="K74" i="15"/>
  <c r="P74" i="15" s="1"/>
  <c r="L74" i="15"/>
  <c r="Q74" i="15" s="1"/>
  <c r="M74" i="15"/>
  <c r="R74" i="15" s="1"/>
  <c r="K75" i="15"/>
  <c r="L75" i="15"/>
  <c r="M75" i="15"/>
  <c r="K76" i="15"/>
  <c r="L76" i="15"/>
  <c r="M76" i="15"/>
  <c r="K77" i="15"/>
  <c r="L77" i="15"/>
  <c r="M77" i="15"/>
  <c r="J75" i="15"/>
  <c r="J76" i="15"/>
  <c r="J77" i="15"/>
  <c r="J74" i="15"/>
  <c r="O74" i="15" s="1"/>
  <c r="H44" i="15"/>
  <c r="I44" i="15"/>
  <c r="J44" i="15"/>
  <c r="G44" i="15"/>
  <c r="H39" i="15"/>
  <c r="I39" i="15"/>
  <c r="J39" i="15"/>
  <c r="G39" i="15"/>
  <c r="H34" i="15"/>
  <c r="I34" i="15"/>
  <c r="J34" i="15"/>
  <c r="G34" i="15"/>
  <c r="U208" i="33" l="1"/>
  <c r="Z208" i="33"/>
  <c r="AB206" i="33"/>
  <c r="W206" i="33"/>
  <c r="Z238" i="33"/>
  <c r="Z236" i="33"/>
  <c r="U238" i="33"/>
  <c r="U236" i="33"/>
  <c r="O163" i="32"/>
  <c r="T163" i="32" s="1"/>
  <c r="Q169" i="32"/>
  <c r="AA129" i="32"/>
  <c r="AF129" i="32"/>
  <c r="T96" i="32"/>
  <c r="AB77" i="32"/>
  <c r="AI96" i="32"/>
  <c r="AL77" i="32"/>
  <c r="Z81" i="32"/>
  <c r="Y96" i="32"/>
  <c r="P211" i="32"/>
  <c r="O253" i="32"/>
  <c r="W90" i="15"/>
  <c r="AB90" i="15"/>
  <c r="AK78" i="15"/>
  <c r="Q208" i="15"/>
  <c r="V208" i="15" s="1"/>
  <c r="AF78" i="15"/>
  <c r="V78" i="15"/>
  <c r="Q235" i="15"/>
  <c r="AA235" i="15" s="1"/>
  <c r="V90" i="15"/>
  <c r="Q220" i="15"/>
  <c r="AA220" i="15" s="1"/>
  <c r="AK90" i="15"/>
  <c r="AA90" i="15"/>
  <c r="Q247" i="15"/>
  <c r="AA247" i="15" s="1"/>
  <c r="AD112" i="15"/>
  <c r="O152" i="15"/>
  <c r="O180" i="15"/>
  <c r="T112" i="15"/>
  <c r="Y112" i="15"/>
  <c r="Y124" i="15"/>
  <c r="T124" i="15"/>
  <c r="O164" i="15"/>
  <c r="AD124" i="15"/>
  <c r="O192" i="15"/>
  <c r="T108" i="15"/>
  <c r="AD108" i="15"/>
  <c r="O184" i="15"/>
  <c r="AI116" i="15"/>
  <c r="T116" i="15"/>
  <c r="O156" i="15"/>
  <c r="AD156" i="15" s="1"/>
  <c r="Y116" i="15"/>
  <c r="O168" i="15"/>
  <c r="T168" i="15" s="1"/>
  <c r="T128" i="15"/>
  <c r="O196" i="15"/>
  <c r="Y128" i="15"/>
  <c r="AD128" i="15"/>
  <c r="AD180" i="15"/>
  <c r="O188" i="15"/>
  <c r="Y120" i="15"/>
  <c r="O160" i="15"/>
  <c r="AD160" i="15" s="1"/>
  <c r="O204" i="15"/>
  <c r="AD204" i="15" s="1"/>
  <c r="T74" i="15"/>
  <c r="O231" i="15"/>
  <c r="AD231" i="15" s="1"/>
  <c r="Y74" i="15"/>
  <c r="AD74" i="15"/>
  <c r="O208" i="15"/>
  <c r="T78" i="15"/>
  <c r="Y78" i="15"/>
  <c r="O235" i="15"/>
  <c r="W208" i="15"/>
  <c r="AB208" i="15"/>
  <c r="Z251" i="15"/>
  <c r="U251" i="15"/>
  <c r="Z235" i="15"/>
  <c r="U235" i="15"/>
  <c r="P247" i="15"/>
  <c r="AE247" i="15" s="1"/>
  <c r="Z90" i="15"/>
  <c r="U90" i="15"/>
  <c r="AJ90" i="15"/>
  <c r="P220" i="15"/>
  <c r="AE90" i="15"/>
  <c r="Y86" i="15"/>
  <c r="O243" i="15"/>
  <c r="AD243" i="15" s="1"/>
  <c r="T86" i="15"/>
  <c r="O216" i="15"/>
  <c r="AD216" i="15" s="1"/>
  <c r="AI94" i="15"/>
  <c r="Y94" i="15"/>
  <c r="T94" i="15"/>
  <c r="O251" i="15"/>
  <c r="O224" i="15"/>
  <c r="Z216" i="15"/>
  <c r="U216" i="15"/>
  <c r="AE216" i="15"/>
  <c r="AG74" i="15"/>
  <c r="W74" i="15"/>
  <c r="R204" i="15"/>
  <c r="R231" i="15"/>
  <c r="AG231" i="15" s="1"/>
  <c r="AB74" i="15"/>
  <c r="AL86" i="15"/>
  <c r="R216" i="15"/>
  <c r="AG216" i="15" s="1"/>
  <c r="AB86" i="15"/>
  <c r="W86" i="15"/>
  <c r="R243" i="15"/>
  <c r="R224" i="15"/>
  <c r="AB94" i="15"/>
  <c r="AG94" i="15"/>
  <c r="R251" i="15"/>
  <c r="W94" i="15"/>
  <c r="Y220" i="15"/>
  <c r="T220" i="15"/>
  <c r="AA82" i="15"/>
  <c r="AF82" i="15"/>
  <c r="AK82" i="15"/>
  <c r="U74" i="15"/>
  <c r="P204" i="15"/>
  <c r="AE74" i="15"/>
  <c r="Z74" i="15"/>
  <c r="P231" i="15"/>
  <c r="V74" i="15"/>
  <c r="Q231" i="15"/>
  <c r="AA74" i="15"/>
  <c r="Q204" i="15"/>
  <c r="AF204" i="15" s="1"/>
  <c r="Q243" i="15"/>
  <c r="Q216" i="15"/>
  <c r="AK86" i="15"/>
  <c r="AA86" i="15"/>
  <c r="V86" i="15"/>
  <c r="Q224" i="15"/>
  <c r="AF94" i="15"/>
  <c r="AA94" i="15"/>
  <c r="Q251" i="15"/>
  <c r="AK94" i="15"/>
  <c r="V94" i="15"/>
  <c r="U78" i="15"/>
  <c r="P208" i="15"/>
  <c r="R220" i="15"/>
  <c r="R235" i="15"/>
  <c r="AG235" i="15" s="1"/>
  <c r="R247" i="15"/>
  <c r="AE86" i="15"/>
  <c r="U86" i="15"/>
  <c r="P243" i="15"/>
  <c r="AA78" i="15"/>
  <c r="AJ78" i="15"/>
  <c r="O247" i="15"/>
  <c r="AD247" i="15" s="1"/>
  <c r="T239" i="15"/>
  <c r="AB78" i="15"/>
  <c r="Z78" i="15"/>
  <c r="AL78" i="15"/>
  <c r="U94" i="15"/>
  <c r="Y90" i="15"/>
  <c r="Z94" i="15"/>
  <c r="Z86" i="15"/>
  <c r="V220" i="15"/>
  <c r="P224" i="15"/>
  <c r="AG208" i="15"/>
  <c r="AE94" i="15"/>
  <c r="W78" i="15"/>
  <c r="AG78" i="15"/>
  <c r="T90" i="15"/>
  <c r="T227" i="33"/>
  <c r="T254" i="33"/>
  <c r="AD254" i="33"/>
  <c r="P112" i="31"/>
  <c r="E63" i="31" s="1"/>
  <c r="P128" i="31"/>
  <c r="O128" i="31"/>
  <c r="O130" i="31"/>
  <c r="O145" i="31" s="1"/>
  <c r="W190" i="33"/>
  <c r="AG190" i="33"/>
  <c r="AB190" i="33"/>
  <c r="AG207" i="33"/>
  <c r="W207" i="33"/>
  <c r="AB207" i="33"/>
  <c r="AD196" i="33"/>
  <c r="T196" i="33"/>
  <c r="Y196" i="33"/>
  <c r="W150" i="33"/>
  <c r="AG150" i="33"/>
  <c r="AB150" i="33"/>
  <c r="AF149" i="33"/>
  <c r="V149" i="33"/>
  <c r="AA149" i="33"/>
  <c r="AD156" i="33"/>
  <c r="T156" i="33"/>
  <c r="Y156" i="33"/>
  <c r="AA214" i="33"/>
  <c r="V214" i="33"/>
  <c r="AF214" i="33"/>
  <c r="AF162" i="33"/>
  <c r="V162" i="33"/>
  <c r="AA162" i="33"/>
  <c r="AE197" i="33"/>
  <c r="U197" i="33"/>
  <c r="Z197" i="33"/>
  <c r="AG231" i="33"/>
  <c r="W231" i="33"/>
  <c r="AB231" i="33"/>
  <c r="AF186" i="33"/>
  <c r="V186" i="33"/>
  <c r="AA186" i="33"/>
  <c r="AE254" i="33"/>
  <c r="U254" i="33"/>
  <c r="Z254" i="33"/>
  <c r="Y240" i="33"/>
  <c r="T240" i="33"/>
  <c r="AD240" i="33"/>
  <c r="AB169" i="33"/>
  <c r="AG169" i="33"/>
  <c r="W169" i="33"/>
  <c r="Z185" i="33"/>
  <c r="U185" i="33"/>
  <c r="AE185" i="33"/>
  <c r="AD188" i="33"/>
  <c r="T188" i="33"/>
  <c r="Y188" i="33"/>
  <c r="AG155" i="33"/>
  <c r="W155" i="33"/>
  <c r="AB155" i="33"/>
  <c r="AD159" i="33"/>
  <c r="T159" i="33"/>
  <c r="Y159" i="33"/>
  <c r="AB195" i="33"/>
  <c r="AG195" i="33"/>
  <c r="W195" i="33"/>
  <c r="AD177" i="33"/>
  <c r="T177" i="33"/>
  <c r="Y177" i="33"/>
  <c r="AB198" i="33"/>
  <c r="AG198" i="33"/>
  <c r="W198" i="33"/>
  <c r="AG182" i="33"/>
  <c r="AB182" i="33"/>
  <c r="W182" i="33"/>
  <c r="AF154" i="33"/>
  <c r="V154" i="33"/>
  <c r="AA154" i="33"/>
  <c r="AF196" i="33"/>
  <c r="V196" i="33"/>
  <c r="AA196" i="33"/>
  <c r="AG234" i="33"/>
  <c r="W234" i="33"/>
  <c r="AB234" i="33"/>
  <c r="AD158" i="33"/>
  <c r="T158" i="33"/>
  <c r="Y158" i="33"/>
  <c r="Z192" i="33"/>
  <c r="AE192" i="33"/>
  <c r="U192" i="33"/>
  <c r="AG178" i="33"/>
  <c r="AB178" i="33"/>
  <c r="W178" i="33"/>
  <c r="AF177" i="33"/>
  <c r="V177" i="33"/>
  <c r="AA177" i="33"/>
  <c r="AD157" i="33"/>
  <c r="T157" i="33"/>
  <c r="Y157" i="33"/>
  <c r="U182" i="33"/>
  <c r="AE182" i="33"/>
  <c r="Z182" i="33"/>
  <c r="AG160" i="33"/>
  <c r="W160" i="33"/>
  <c r="AB160" i="33"/>
  <c r="AF151" i="33"/>
  <c r="V151" i="33"/>
  <c r="AA151" i="33"/>
  <c r="AF190" i="33"/>
  <c r="V190" i="33"/>
  <c r="AA190" i="33"/>
  <c r="AD169" i="33"/>
  <c r="T169" i="33"/>
  <c r="Y169" i="33"/>
  <c r="AD150" i="33"/>
  <c r="T150" i="33"/>
  <c r="Y150" i="33"/>
  <c r="AG205" i="33"/>
  <c r="W205" i="33"/>
  <c r="AB205" i="33"/>
  <c r="AE248" i="33"/>
  <c r="U248" i="33"/>
  <c r="Z248" i="33"/>
  <c r="AD161" i="33"/>
  <c r="T161" i="33"/>
  <c r="Y161" i="33"/>
  <c r="Z227" i="33"/>
  <c r="AE227" i="33"/>
  <c r="U227" i="33"/>
  <c r="AB197" i="33"/>
  <c r="AG197" i="33"/>
  <c r="W197" i="33"/>
  <c r="AF156" i="33"/>
  <c r="V156" i="33"/>
  <c r="AA156" i="33"/>
  <c r="Z189" i="33"/>
  <c r="AE189" i="33"/>
  <c r="U189" i="33"/>
  <c r="AD187" i="33"/>
  <c r="T187" i="33"/>
  <c r="Y187" i="33"/>
  <c r="AA170" i="33"/>
  <c r="AF170" i="33"/>
  <c r="V170" i="33"/>
  <c r="AD181" i="33"/>
  <c r="T181" i="33"/>
  <c r="Y181" i="33"/>
  <c r="AF182" i="33"/>
  <c r="V182" i="33"/>
  <c r="AA182" i="33"/>
  <c r="Z166" i="33"/>
  <c r="AE166" i="33"/>
  <c r="U166" i="33"/>
  <c r="AB171" i="33"/>
  <c r="AG171" i="33"/>
  <c r="W171" i="33"/>
  <c r="Z223" i="33"/>
  <c r="AE223" i="33"/>
  <c r="U223" i="33"/>
  <c r="AF161" i="33"/>
  <c r="V161" i="33"/>
  <c r="AA161" i="33"/>
  <c r="AF195" i="33"/>
  <c r="V195" i="33"/>
  <c r="AA195" i="33"/>
  <c r="Z170" i="33"/>
  <c r="AE170" i="33"/>
  <c r="U170" i="33"/>
  <c r="Z186" i="33"/>
  <c r="U186" i="33"/>
  <c r="AE186" i="33"/>
  <c r="AF157" i="33"/>
  <c r="V157" i="33"/>
  <c r="AA157" i="33"/>
  <c r="AF194" i="33"/>
  <c r="V194" i="33"/>
  <c r="AA194" i="33"/>
  <c r="AF153" i="33"/>
  <c r="V153" i="33"/>
  <c r="AA153" i="33"/>
  <c r="AE150" i="33"/>
  <c r="U150" i="33"/>
  <c r="Z150" i="33"/>
  <c r="AA171" i="33"/>
  <c r="AF171" i="33"/>
  <c r="V171" i="33"/>
  <c r="AE157" i="33"/>
  <c r="U157" i="33"/>
  <c r="Z157" i="33"/>
  <c r="W185" i="33"/>
  <c r="AG185" i="33"/>
  <c r="AB185" i="33"/>
  <c r="Z167" i="33"/>
  <c r="AE167" i="33"/>
  <c r="U167" i="33"/>
  <c r="AE148" i="33"/>
  <c r="U148" i="33"/>
  <c r="Z148" i="33"/>
  <c r="AF176" i="33"/>
  <c r="V176" i="33"/>
  <c r="AA176" i="33"/>
  <c r="AE149" i="33"/>
  <c r="U149" i="33"/>
  <c r="Z149" i="33"/>
  <c r="AG245" i="33"/>
  <c r="W245" i="33"/>
  <c r="AB245" i="33"/>
  <c r="W148" i="33"/>
  <c r="AG148" i="33"/>
  <c r="AB148" i="33"/>
  <c r="AE251" i="33"/>
  <c r="U251" i="33"/>
  <c r="Z251" i="33"/>
  <c r="AG188" i="33"/>
  <c r="AB188" i="33"/>
  <c r="W188" i="33"/>
  <c r="AF179" i="33"/>
  <c r="V179" i="33"/>
  <c r="AA179" i="33"/>
  <c r="AD179" i="33"/>
  <c r="T179" i="33"/>
  <c r="Y179" i="33"/>
  <c r="AE153" i="33"/>
  <c r="U153" i="33"/>
  <c r="Z153" i="33"/>
  <c r="AD163" i="33"/>
  <c r="T163" i="33"/>
  <c r="Y163" i="33"/>
  <c r="AD197" i="33"/>
  <c r="T197" i="33"/>
  <c r="Y197" i="33"/>
  <c r="AE159" i="33"/>
  <c r="U159" i="33"/>
  <c r="Z159" i="33"/>
  <c r="AA167" i="33"/>
  <c r="AF167" i="33"/>
  <c r="V167" i="33"/>
  <c r="AD189" i="33"/>
  <c r="T189" i="33"/>
  <c r="Y189" i="33"/>
  <c r="AA166" i="33"/>
  <c r="AF166" i="33"/>
  <c r="V166" i="33"/>
  <c r="AD182" i="33"/>
  <c r="T182" i="33"/>
  <c r="Y182" i="33"/>
  <c r="AA148" i="33"/>
  <c r="AF148" i="33"/>
  <c r="V148" i="33"/>
  <c r="AE160" i="33"/>
  <c r="U160" i="33"/>
  <c r="Z160" i="33"/>
  <c r="Z194" i="33"/>
  <c r="U194" i="33"/>
  <c r="AE194" i="33"/>
  <c r="AE196" i="33"/>
  <c r="U196" i="33"/>
  <c r="Z196" i="33"/>
  <c r="Z213" i="33"/>
  <c r="AE213" i="33"/>
  <c r="U213" i="33"/>
  <c r="AD184" i="33"/>
  <c r="T184" i="33"/>
  <c r="Y184" i="33"/>
  <c r="Y165" i="33"/>
  <c r="T165" i="33"/>
  <c r="AD165" i="33"/>
  <c r="Z183" i="33"/>
  <c r="U183" i="33"/>
  <c r="AE183" i="33"/>
  <c r="W152" i="33"/>
  <c r="AB152" i="33"/>
  <c r="AG152" i="33"/>
  <c r="T164" i="33"/>
  <c r="Y164" i="33"/>
  <c r="AF163" i="33"/>
  <c r="V163" i="33"/>
  <c r="AA163" i="33"/>
  <c r="AD170" i="33"/>
  <c r="T170" i="33"/>
  <c r="Y170" i="33"/>
  <c r="W164" i="33"/>
  <c r="AB164" i="33"/>
  <c r="AD171" i="33"/>
  <c r="T171" i="33"/>
  <c r="Y171" i="33"/>
  <c r="AF159" i="33"/>
  <c r="V159" i="33"/>
  <c r="AA159" i="33"/>
  <c r="AF189" i="33"/>
  <c r="V189" i="33"/>
  <c r="AA189" i="33"/>
  <c r="AE198" i="33"/>
  <c r="U198" i="33"/>
  <c r="Z198" i="33"/>
  <c r="AD155" i="33"/>
  <c r="T155" i="33"/>
  <c r="Y155" i="33"/>
  <c r="AF160" i="33"/>
  <c r="V160" i="33"/>
  <c r="AA160" i="33"/>
  <c r="AF185" i="33"/>
  <c r="V185" i="33"/>
  <c r="AA185" i="33"/>
  <c r="Z190" i="33"/>
  <c r="U190" i="33"/>
  <c r="AE190" i="33"/>
  <c r="AF181" i="33"/>
  <c r="V181" i="33"/>
  <c r="AA181" i="33"/>
  <c r="AF199" i="33"/>
  <c r="V199" i="33"/>
  <c r="AA199" i="33"/>
  <c r="W183" i="33"/>
  <c r="AG183" i="33"/>
  <c r="AB183" i="33"/>
  <c r="AF155" i="33"/>
  <c r="V155" i="33"/>
  <c r="AA155" i="33"/>
  <c r="AE252" i="33"/>
  <c r="U252" i="33"/>
  <c r="Z252" i="33"/>
  <c r="Z195" i="33"/>
  <c r="AE195" i="33"/>
  <c r="U195" i="33"/>
  <c r="AE176" i="33"/>
  <c r="U176" i="33"/>
  <c r="Z176" i="33"/>
  <c r="AD152" i="33"/>
  <c r="T152" i="33"/>
  <c r="Y152" i="33"/>
  <c r="Y166" i="33"/>
  <c r="AD166" i="33"/>
  <c r="T166" i="33"/>
  <c r="W218" i="33"/>
  <c r="AG218" i="33"/>
  <c r="AB218" i="33"/>
  <c r="AE156" i="33"/>
  <c r="U156" i="33"/>
  <c r="Z156" i="33"/>
  <c r="Z224" i="33"/>
  <c r="AE224" i="33"/>
  <c r="U224" i="33"/>
  <c r="AB165" i="33"/>
  <c r="W165" i="33"/>
  <c r="AG165" i="33"/>
  <c r="AD186" i="33"/>
  <c r="T186" i="33"/>
  <c r="Y186" i="33"/>
  <c r="AD193" i="33"/>
  <c r="T193" i="33"/>
  <c r="Y193" i="33"/>
  <c r="AG180" i="33"/>
  <c r="AB180" i="33"/>
  <c r="W180" i="33"/>
  <c r="AF191" i="33"/>
  <c r="V191" i="33"/>
  <c r="AA191" i="33"/>
  <c r="AD198" i="33"/>
  <c r="T198" i="33"/>
  <c r="Y198" i="33"/>
  <c r="AG192" i="33"/>
  <c r="AB192" i="33"/>
  <c r="W192" i="33"/>
  <c r="AD185" i="33"/>
  <c r="T185" i="33"/>
  <c r="Y185" i="33"/>
  <c r="AE154" i="33"/>
  <c r="U154" i="33"/>
  <c r="Z154" i="33"/>
  <c r="AD199" i="33"/>
  <c r="T199" i="33"/>
  <c r="Y199" i="33"/>
  <c r="Z181" i="33"/>
  <c r="U181" i="33"/>
  <c r="AE181" i="33"/>
  <c r="AF187" i="33"/>
  <c r="V187" i="33"/>
  <c r="AA187" i="33"/>
  <c r="Z187" i="33"/>
  <c r="AE187" i="33"/>
  <c r="U187" i="33"/>
  <c r="AG159" i="33"/>
  <c r="W159" i="33"/>
  <c r="AB159" i="33"/>
  <c r="Z179" i="33"/>
  <c r="U179" i="33"/>
  <c r="AE179" i="33"/>
  <c r="AD183" i="33"/>
  <c r="T183" i="33"/>
  <c r="Y183" i="33"/>
  <c r="AF188" i="33"/>
  <c r="V188" i="33"/>
  <c r="AA188" i="33"/>
  <c r="AE247" i="33"/>
  <c r="U247" i="33"/>
  <c r="Z247" i="33"/>
  <c r="AD160" i="33"/>
  <c r="T160" i="33"/>
  <c r="Y160" i="33"/>
  <c r="AF249" i="33"/>
  <c r="V249" i="33"/>
  <c r="AA249" i="33"/>
  <c r="AF183" i="33"/>
  <c r="V183" i="33"/>
  <c r="AA183" i="33"/>
  <c r="Z225" i="33"/>
  <c r="AE225" i="33"/>
  <c r="U225" i="33"/>
  <c r="W194" i="33"/>
  <c r="AG194" i="33"/>
  <c r="AB194" i="33"/>
  <c r="AD194" i="33"/>
  <c r="T194" i="33"/>
  <c r="Y194" i="33"/>
  <c r="AG153" i="33"/>
  <c r="W153" i="33"/>
  <c r="AB153" i="33"/>
  <c r="AE241" i="33"/>
  <c r="U241" i="33"/>
  <c r="Z241" i="33"/>
  <c r="Y167" i="33"/>
  <c r="T167" i="33"/>
  <c r="AD167" i="33"/>
  <c r="AG154" i="33"/>
  <c r="W154" i="33"/>
  <c r="AB154" i="33"/>
  <c r="Z188" i="33"/>
  <c r="AE188" i="33"/>
  <c r="U188" i="33"/>
  <c r="V164" i="33"/>
  <c r="AA164" i="33"/>
  <c r="AA169" i="33"/>
  <c r="AF169" i="33"/>
  <c r="V169" i="33"/>
  <c r="AD162" i="33"/>
  <c r="T162" i="33"/>
  <c r="Y162" i="33"/>
  <c r="AG158" i="33"/>
  <c r="W158" i="33"/>
  <c r="AB158" i="33"/>
  <c r="AB199" i="33"/>
  <c r="AG199" i="33"/>
  <c r="W199" i="33"/>
  <c r="W214" i="33"/>
  <c r="AG214" i="33"/>
  <c r="AB214" i="33"/>
  <c r="AE151" i="33"/>
  <c r="U151" i="33"/>
  <c r="Z151" i="33"/>
  <c r="AG193" i="33"/>
  <c r="AB193" i="33"/>
  <c r="W193" i="33"/>
  <c r="W149" i="33"/>
  <c r="AG149" i="33"/>
  <c r="AB149" i="33"/>
  <c r="AD226" i="33"/>
  <c r="T226" i="33"/>
  <c r="Y226" i="33"/>
  <c r="U164" i="33"/>
  <c r="Z164" i="33"/>
  <c r="AG161" i="33"/>
  <c r="W161" i="33"/>
  <c r="AB161" i="33"/>
  <c r="AD210" i="33"/>
  <c r="T210" i="33"/>
  <c r="Y210" i="33"/>
  <c r="Z191" i="33"/>
  <c r="AE191" i="33"/>
  <c r="U191" i="33"/>
  <c r="AD178" i="33"/>
  <c r="T178" i="33"/>
  <c r="Y178" i="33"/>
  <c r="AE237" i="33"/>
  <c r="U237" i="33"/>
  <c r="Z237" i="33"/>
  <c r="AD190" i="33"/>
  <c r="T190" i="33"/>
  <c r="Y190" i="33"/>
  <c r="W186" i="33"/>
  <c r="AG186" i="33"/>
  <c r="AB186" i="33"/>
  <c r="AD222" i="33"/>
  <c r="T222" i="33"/>
  <c r="Y222" i="33"/>
  <c r="Z220" i="33"/>
  <c r="AE220" i="33"/>
  <c r="U220" i="33"/>
  <c r="AA222" i="33"/>
  <c r="V222" i="33"/>
  <c r="AF222" i="33"/>
  <c r="AE161" i="33"/>
  <c r="U161" i="33"/>
  <c r="Z161" i="33"/>
  <c r="AA165" i="33"/>
  <c r="AF165" i="33"/>
  <c r="V165" i="33"/>
  <c r="AB166" i="33"/>
  <c r="W166" i="33"/>
  <c r="AG166" i="33"/>
  <c r="AG163" i="33"/>
  <c r="W163" i="33"/>
  <c r="AB163" i="33"/>
  <c r="W181" i="33"/>
  <c r="AG181" i="33"/>
  <c r="AB181" i="33"/>
  <c r="Z177" i="33"/>
  <c r="U177" i="33"/>
  <c r="AE177" i="33"/>
  <c r="Z214" i="33"/>
  <c r="AE214" i="33"/>
  <c r="U214" i="33"/>
  <c r="AD153" i="33"/>
  <c r="T153" i="33"/>
  <c r="Y153" i="33"/>
  <c r="AD195" i="33"/>
  <c r="T195" i="33"/>
  <c r="Y195" i="33"/>
  <c r="AG156" i="33"/>
  <c r="W156" i="33"/>
  <c r="AB156" i="33"/>
  <c r="AF192" i="33"/>
  <c r="V192" i="33"/>
  <c r="AA192" i="33"/>
  <c r="AF197" i="33"/>
  <c r="V197" i="33"/>
  <c r="AA197" i="33"/>
  <c r="Z165" i="33"/>
  <c r="AE165" i="33"/>
  <c r="U165" i="33"/>
  <c r="AB196" i="33"/>
  <c r="W196" i="33"/>
  <c r="AG196" i="33"/>
  <c r="AE155" i="33"/>
  <c r="U155" i="33"/>
  <c r="Z155" i="33"/>
  <c r="AG241" i="33"/>
  <c r="W241" i="33"/>
  <c r="AB241" i="33"/>
  <c r="AE240" i="33"/>
  <c r="U240" i="33"/>
  <c r="Z240" i="33"/>
  <c r="AE163" i="33"/>
  <c r="U163" i="33"/>
  <c r="Z163" i="33"/>
  <c r="AE250" i="33"/>
  <c r="U250" i="33"/>
  <c r="Z250" i="33"/>
  <c r="U180" i="33"/>
  <c r="AE180" i="33"/>
  <c r="Z180" i="33"/>
  <c r="AB187" i="33"/>
  <c r="W187" i="33"/>
  <c r="AG187" i="33"/>
  <c r="AG232" i="33"/>
  <c r="W232" i="33"/>
  <c r="AB232" i="33"/>
  <c r="Z221" i="33"/>
  <c r="AE221" i="33"/>
  <c r="U221" i="33"/>
  <c r="AF184" i="33"/>
  <c r="V184" i="33"/>
  <c r="AA184" i="33"/>
  <c r="AG157" i="33"/>
  <c r="W157" i="33"/>
  <c r="AB157" i="33"/>
  <c r="AB191" i="33"/>
  <c r="W191" i="33"/>
  <c r="AG191" i="33"/>
  <c r="AF198" i="33"/>
  <c r="V198" i="33"/>
  <c r="AA198" i="33"/>
  <c r="AD191" i="33"/>
  <c r="T191" i="33"/>
  <c r="Y191" i="33"/>
  <c r="AG162" i="33"/>
  <c r="W162" i="33"/>
  <c r="AB162" i="33"/>
  <c r="W177" i="33"/>
  <c r="AG177" i="33"/>
  <c r="AB177" i="33"/>
  <c r="Y253" i="33"/>
  <c r="AD253" i="33"/>
  <c r="T253" i="33"/>
  <c r="AD192" i="33"/>
  <c r="T192" i="33"/>
  <c r="Y192" i="33"/>
  <c r="AG189" i="33"/>
  <c r="AB189" i="33"/>
  <c r="W189" i="33"/>
  <c r="Y237" i="33"/>
  <c r="AD237" i="33"/>
  <c r="T237" i="33"/>
  <c r="AD151" i="33"/>
  <c r="T151" i="33"/>
  <c r="Y151" i="33"/>
  <c r="AF241" i="33"/>
  <c r="V241" i="33"/>
  <c r="AA241" i="33"/>
  <c r="Z169" i="33"/>
  <c r="AE169" i="33"/>
  <c r="U169" i="33"/>
  <c r="AG204" i="33"/>
  <c r="W204" i="33"/>
  <c r="AB204" i="33"/>
  <c r="Z210" i="33"/>
  <c r="AE210" i="33"/>
  <c r="U210" i="33"/>
  <c r="AE152" i="33"/>
  <c r="U152" i="33"/>
  <c r="Z152" i="33"/>
  <c r="AF158" i="33"/>
  <c r="V158" i="33"/>
  <c r="AA158" i="33"/>
  <c r="AE158" i="33"/>
  <c r="U158" i="33"/>
  <c r="Z158" i="33"/>
  <c r="AE162" i="33"/>
  <c r="U162" i="33"/>
  <c r="Z162" i="33"/>
  <c r="U178" i="33"/>
  <c r="AE178" i="33"/>
  <c r="Z178" i="33"/>
  <c r="AD213" i="33"/>
  <c r="T213" i="33"/>
  <c r="Y213" i="33"/>
  <c r="Y249" i="33"/>
  <c r="AD249" i="33"/>
  <c r="T249" i="33"/>
  <c r="AD154" i="33"/>
  <c r="T154" i="33"/>
  <c r="Y154" i="33"/>
  <c r="AF193" i="33"/>
  <c r="V193" i="33"/>
  <c r="AA193" i="33"/>
  <c r="AD180" i="33"/>
  <c r="T180" i="33"/>
  <c r="Y180" i="33"/>
  <c r="AB167" i="33"/>
  <c r="W167" i="33"/>
  <c r="AG167" i="33"/>
  <c r="AD149" i="33"/>
  <c r="T149" i="33"/>
  <c r="Y149" i="33"/>
  <c r="AB170" i="33"/>
  <c r="AG170" i="33"/>
  <c r="W170" i="33"/>
  <c r="AG176" i="33"/>
  <c r="W176" i="33"/>
  <c r="AB176" i="33"/>
  <c r="U184" i="33"/>
  <c r="AE184" i="33"/>
  <c r="Z184" i="33"/>
  <c r="AG184" i="33"/>
  <c r="AB184" i="33"/>
  <c r="W184" i="33"/>
  <c r="Z193" i="33"/>
  <c r="AE193" i="33"/>
  <c r="U193" i="33"/>
  <c r="P191" i="32"/>
  <c r="AL85" i="32"/>
  <c r="AG85" i="32"/>
  <c r="O249" i="32"/>
  <c r="R215" i="32"/>
  <c r="AG215" i="32" s="1"/>
  <c r="O222" i="32"/>
  <c r="R242" i="32"/>
  <c r="AG242" i="32" s="1"/>
  <c r="AA82" i="32"/>
  <c r="AI92" i="32"/>
  <c r="Y92" i="32"/>
  <c r="AE231" i="15"/>
  <c r="AE251" i="15"/>
  <c r="AD239" i="15"/>
  <c r="AD251" i="15"/>
  <c r="AE235" i="15"/>
  <c r="AE243" i="15"/>
  <c r="AD224" i="15"/>
  <c r="AG220" i="15"/>
  <c r="AE220" i="15"/>
  <c r="AD220" i="15"/>
  <c r="AG224" i="15"/>
  <c r="AG204" i="15"/>
  <c r="AF224" i="15"/>
  <c r="AF216" i="15"/>
  <c r="AD152" i="15"/>
  <c r="AF152" i="15"/>
  <c r="AE156" i="15"/>
  <c r="AE152" i="15"/>
  <c r="AD116" i="15"/>
  <c r="AD120" i="15"/>
  <c r="AL94" i="15"/>
  <c r="AL74" i="15"/>
  <c r="AL90" i="15"/>
  <c r="AG86" i="15"/>
  <c r="AG90" i="15"/>
  <c r="AF86" i="15"/>
  <c r="AK74" i="15"/>
  <c r="AF74" i="15"/>
  <c r="AF90" i="15"/>
  <c r="AE78" i="15"/>
  <c r="AJ74" i="15"/>
  <c r="AJ86" i="15"/>
  <c r="AJ94" i="15"/>
  <c r="AI90" i="15"/>
  <c r="AI120" i="15"/>
  <c r="AD86" i="15"/>
  <c r="AD78" i="15"/>
  <c r="AD90" i="15"/>
  <c r="AI86" i="15"/>
  <c r="AI124" i="15"/>
  <c r="AI82" i="15"/>
  <c r="AI74" i="15"/>
  <c r="AI112" i="15"/>
  <c r="AI128" i="15"/>
  <c r="AD94" i="15"/>
  <c r="AI78" i="15"/>
  <c r="AJ81" i="32"/>
  <c r="AJ94" i="32"/>
  <c r="AJ123" i="32"/>
  <c r="AJ78" i="32"/>
  <c r="AJ76" i="32"/>
  <c r="AK87" i="32"/>
  <c r="AJ74" i="32"/>
  <c r="AJ93" i="32"/>
  <c r="AJ95" i="32"/>
  <c r="AJ79" i="32"/>
  <c r="AJ75" i="32"/>
  <c r="AJ124" i="32"/>
  <c r="AJ91" i="32"/>
  <c r="AJ77" i="32"/>
  <c r="O237" i="32"/>
  <c r="AD237" i="32" s="1"/>
  <c r="Q206" i="32"/>
  <c r="AA206" i="32" s="1"/>
  <c r="AF82" i="32"/>
  <c r="P207" i="32"/>
  <c r="AE207" i="32" s="1"/>
  <c r="O210" i="32"/>
  <c r="Y210" i="32" s="1"/>
  <c r="Q233" i="32"/>
  <c r="V233" i="32" s="1"/>
  <c r="V82" i="32"/>
  <c r="Q212" i="32"/>
  <c r="AA212" i="32" s="1"/>
  <c r="AE77" i="32"/>
  <c r="T94" i="32"/>
  <c r="AD80" i="32"/>
  <c r="W77" i="32"/>
  <c r="U77" i="32"/>
  <c r="AI94" i="32"/>
  <c r="T80" i="32"/>
  <c r="AG77" i="32"/>
  <c r="V76" i="32"/>
  <c r="O251" i="32"/>
  <c r="AD251" i="32" s="1"/>
  <c r="AI80" i="32"/>
  <c r="R207" i="32"/>
  <c r="AG207" i="32" s="1"/>
  <c r="AF76" i="32"/>
  <c r="O241" i="32"/>
  <c r="AD241" i="32" s="1"/>
  <c r="O224" i="32"/>
  <c r="AD224" i="32" s="1"/>
  <c r="W85" i="32"/>
  <c r="AE81" i="32"/>
  <c r="O238" i="32"/>
  <c r="Y238" i="32" s="1"/>
  <c r="O211" i="32"/>
  <c r="AI97" i="32"/>
  <c r="O227" i="32"/>
  <c r="T227" i="32" s="1"/>
  <c r="Y81" i="32"/>
  <c r="T81" i="32"/>
  <c r="AD81" i="32"/>
  <c r="P189" i="32"/>
  <c r="P161" i="32"/>
  <c r="AE121" i="32"/>
  <c r="AJ121" i="32"/>
  <c r="Z121" i="32"/>
  <c r="U121" i="32"/>
  <c r="AA197" i="32"/>
  <c r="V197" i="32"/>
  <c r="AF197" i="32"/>
  <c r="AE223" i="32"/>
  <c r="U223" i="32"/>
  <c r="Z223" i="32"/>
  <c r="O194" i="32"/>
  <c r="O166" i="32"/>
  <c r="AD126" i="32"/>
  <c r="T126" i="32"/>
  <c r="AI126" i="32"/>
  <c r="Y126" i="32"/>
  <c r="P245" i="32"/>
  <c r="P218" i="32"/>
  <c r="AE88" i="32"/>
  <c r="U88" i="32"/>
  <c r="AJ88" i="32"/>
  <c r="Z88" i="32"/>
  <c r="Q251" i="32"/>
  <c r="Q224" i="32"/>
  <c r="AK94" i="32"/>
  <c r="AA94" i="32"/>
  <c r="V94" i="32"/>
  <c r="AF94" i="32"/>
  <c r="AB123" i="32"/>
  <c r="R191" i="32"/>
  <c r="W123" i="32"/>
  <c r="R163" i="32"/>
  <c r="AL123" i="32"/>
  <c r="AG123" i="32"/>
  <c r="R254" i="32"/>
  <c r="R227" i="32"/>
  <c r="AG97" i="32"/>
  <c r="W97" i="32"/>
  <c r="AL97" i="32"/>
  <c r="AB97" i="32"/>
  <c r="Z252" i="32"/>
  <c r="AE252" i="32"/>
  <c r="U252" i="32"/>
  <c r="AA221" i="32"/>
  <c r="V221" i="32"/>
  <c r="AF221" i="32"/>
  <c r="AA247" i="32"/>
  <c r="AF247" i="32"/>
  <c r="V247" i="32"/>
  <c r="R148" i="32"/>
  <c r="AL108" i="32"/>
  <c r="AB108" i="32"/>
  <c r="AG108" i="32"/>
  <c r="W108" i="32"/>
  <c r="R176" i="32"/>
  <c r="P169" i="32"/>
  <c r="P197" i="32"/>
  <c r="Z129" i="32"/>
  <c r="AJ129" i="32"/>
  <c r="U129" i="32"/>
  <c r="AE129" i="32"/>
  <c r="Z208" i="32"/>
  <c r="AE208" i="32"/>
  <c r="U208" i="32"/>
  <c r="O176" i="32"/>
  <c r="O148" i="32"/>
  <c r="AD108" i="32"/>
  <c r="Y108" i="32"/>
  <c r="T108" i="32"/>
  <c r="AI108" i="32"/>
  <c r="Q235" i="32"/>
  <c r="Q208" i="32"/>
  <c r="AF78" i="32"/>
  <c r="V78" i="32"/>
  <c r="AK78" i="32"/>
  <c r="AA78" i="32"/>
  <c r="AK90" i="32"/>
  <c r="AK83" i="32"/>
  <c r="AL113" i="32"/>
  <c r="AB113" i="32"/>
  <c r="R181" i="32"/>
  <c r="AG113" i="32"/>
  <c r="W113" i="32"/>
  <c r="R153" i="32"/>
  <c r="P254" i="32"/>
  <c r="P227" i="32"/>
  <c r="AJ97" i="32"/>
  <c r="U97" i="32"/>
  <c r="AE97" i="32"/>
  <c r="Z97" i="32"/>
  <c r="Q180" i="32"/>
  <c r="AK112" i="32"/>
  <c r="AA112" i="32"/>
  <c r="Q152" i="32"/>
  <c r="V112" i="32"/>
  <c r="AF112" i="32"/>
  <c r="O179" i="32"/>
  <c r="O151" i="32"/>
  <c r="AI111" i="32"/>
  <c r="AD111" i="32"/>
  <c r="Y111" i="32"/>
  <c r="T111" i="32"/>
  <c r="AE224" i="32"/>
  <c r="U224" i="32"/>
  <c r="Z224" i="32"/>
  <c r="AE219" i="32"/>
  <c r="U219" i="32"/>
  <c r="Z219" i="32"/>
  <c r="R237" i="32"/>
  <c r="R210" i="32"/>
  <c r="AB80" i="32"/>
  <c r="AL80" i="32"/>
  <c r="AG80" i="32"/>
  <c r="W80" i="32"/>
  <c r="AA242" i="32"/>
  <c r="AF242" i="32"/>
  <c r="V242" i="32"/>
  <c r="AG253" i="32"/>
  <c r="W253" i="32"/>
  <c r="AB253" i="32"/>
  <c r="AG234" i="32"/>
  <c r="W234" i="32"/>
  <c r="AB234" i="32"/>
  <c r="AF212" i="32"/>
  <c r="Q195" i="32"/>
  <c r="AF127" i="32"/>
  <c r="Q167" i="32"/>
  <c r="AK127" i="32"/>
  <c r="V127" i="32"/>
  <c r="AA127" i="32"/>
  <c r="R192" i="32"/>
  <c r="AG124" i="32"/>
  <c r="R164" i="32"/>
  <c r="AB124" i="32"/>
  <c r="AL124" i="32"/>
  <c r="W124" i="32"/>
  <c r="P244" i="32"/>
  <c r="P217" i="32"/>
  <c r="AJ87" i="32"/>
  <c r="Z87" i="32"/>
  <c r="AE87" i="32"/>
  <c r="U87" i="32"/>
  <c r="P182" i="32"/>
  <c r="P154" i="32"/>
  <c r="AJ114" i="32"/>
  <c r="Z114" i="32"/>
  <c r="AE114" i="32"/>
  <c r="U114" i="32"/>
  <c r="O190" i="32"/>
  <c r="AD122" i="32"/>
  <c r="T122" i="32"/>
  <c r="O162" i="32"/>
  <c r="AI122" i="32"/>
  <c r="Y122" i="32"/>
  <c r="Z250" i="32"/>
  <c r="AE250" i="32"/>
  <c r="U250" i="32"/>
  <c r="AA194" i="32"/>
  <c r="V194" i="32"/>
  <c r="AF194" i="32"/>
  <c r="Q249" i="32"/>
  <c r="Q222" i="32"/>
  <c r="AF92" i="32"/>
  <c r="V92" i="32"/>
  <c r="AA92" i="32"/>
  <c r="AK92" i="32"/>
  <c r="O189" i="32"/>
  <c r="AD121" i="32"/>
  <c r="T121" i="32"/>
  <c r="O161" i="32"/>
  <c r="Y121" i="32"/>
  <c r="AI121" i="32"/>
  <c r="Q252" i="32"/>
  <c r="Q225" i="32"/>
  <c r="AK95" i="32"/>
  <c r="AA95" i="32"/>
  <c r="V95" i="32"/>
  <c r="AF95" i="32"/>
  <c r="O219" i="32"/>
  <c r="O246" i="32"/>
  <c r="AI89" i="32"/>
  <c r="Y89" i="32"/>
  <c r="AD89" i="32"/>
  <c r="T89" i="32"/>
  <c r="O181" i="32"/>
  <c r="O153" i="32"/>
  <c r="AD113" i="32"/>
  <c r="Y113" i="32"/>
  <c r="AI113" i="32"/>
  <c r="T113" i="32"/>
  <c r="Q184" i="32"/>
  <c r="Q156" i="32"/>
  <c r="AK116" i="32"/>
  <c r="AA116" i="32"/>
  <c r="AF116" i="32"/>
  <c r="V116" i="32"/>
  <c r="P237" i="32"/>
  <c r="P210" i="32"/>
  <c r="AE80" i="32"/>
  <c r="U80" i="32"/>
  <c r="Z80" i="32"/>
  <c r="AJ80" i="32"/>
  <c r="AA248" i="32"/>
  <c r="AF248" i="32"/>
  <c r="V248" i="32"/>
  <c r="R243" i="32"/>
  <c r="R216" i="32"/>
  <c r="AL86" i="32"/>
  <c r="AB86" i="32"/>
  <c r="W86" i="32"/>
  <c r="AG86" i="32"/>
  <c r="P253" i="32"/>
  <c r="P226" i="32"/>
  <c r="Z96" i="32"/>
  <c r="AJ96" i="32"/>
  <c r="U96" i="32"/>
  <c r="AE96" i="32"/>
  <c r="O215" i="32"/>
  <c r="O242" i="32"/>
  <c r="T85" i="32"/>
  <c r="AD85" i="32"/>
  <c r="AI85" i="32"/>
  <c r="Y85" i="32"/>
  <c r="AL109" i="32"/>
  <c r="AB109" i="32"/>
  <c r="R177" i="32"/>
  <c r="R149" i="32"/>
  <c r="AG109" i="32"/>
  <c r="W109" i="32"/>
  <c r="P168" i="32"/>
  <c r="U168" i="32" s="1"/>
  <c r="P196" i="32"/>
  <c r="U128" i="32"/>
  <c r="AE128" i="32"/>
  <c r="Z128" i="32"/>
  <c r="AJ128" i="32"/>
  <c r="Z235" i="32"/>
  <c r="U235" i="32"/>
  <c r="AE235" i="32"/>
  <c r="P241" i="32"/>
  <c r="P214" i="32"/>
  <c r="AE84" i="32"/>
  <c r="U84" i="32"/>
  <c r="Z84" i="32"/>
  <c r="AJ84" i="32"/>
  <c r="Q234" i="32"/>
  <c r="Q207" i="32"/>
  <c r="AF77" i="32"/>
  <c r="V77" i="32"/>
  <c r="AK77" i="32"/>
  <c r="AA77" i="32"/>
  <c r="R154" i="32"/>
  <c r="AL114" i="32"/>
  <c r="AB114" i="32"/>
  <c r="AG114" i="32"/>
  <c r="W114" i="32"/>
  <c r="R182" i="32"/>
  <c r="Q191" i="32"/>
  <c r="AK123" i="32"/>
  <c r="Q163" i="32"/>
  <c r="AA123" i="32"/>
  <c r="V123" i="32"/>
  <c r="AF123" i="32"/>
  <c r="AF216" i="32"/>
  <c r="AA216" i="32"/>
  <c r="V216" i="32"/>
  <c r="AK113" i="32"/>
  <c r="AA113" i="32"/>
  <c r="Q181" i="32"/>
  <c r="Q153" i="32"/>
  <c r="V113" i="32"/>
  <c r="AF113" i="32"/>
  <c r="O232" i="32"/>
  <c r="O205" i="32"/>
  <c r="AD75" i="32"/>
  <c r="T75" i="32"/>
  <c r="AI75" i="32"/>
  <c r="Y75" i="32"/>
  <c r="Z251" i="32"/>
  <c r="U251" i="32"/>
  <c r="AE251" i="32"/>
  <c r="Z246" i="32"/>
  <c r="AE246" i="32"/>
  <c r="U246" i="32"/>
  <c r="R233" i="32"/>
  <c r="R206" i="32"/>
  <c r="AL76" i="32"/>
  <c r="AG76" i="32"/>
  <c r="W76" i="32"/>
  <c r="AB76" i="32"/>
  <c r="V210" i="32"/>
  <c r="AF210" i="32"/>
  <c r="AA210" i="32"/>
  <c r="T237" i="32"/>
  <c r="Y237" i="32"/>
  <c r="AK91" i="32"/>
  <c r="AA239" i="32"/>
  <c r="AF239" i="32"/>
  <c r="V239" i="32"/>
  <c r="O217" i="32"/>
  <c r="O244" i="32"/>
  <c r="AI87" i="32"/>
  <c r="Y87" i="32"/>
  <c r="T87" i="32"/>
  <c r="AD87" i="32"/>
  <c r="P165" i="32"/>
  <c r="P193" i="32"/>
  <c r="AJ125" i="32"/>
  <c r="U125" i="32"/>
  <c r="Z125" i="32"/>
  <c r="AE125" i="32"/>
  <c r="Q185" i="32"/>
  <c r="AK117" i="32"/>
  <c r="AA117" i="32"/>
  <c r="Q157" i="32"/>
  <c r="AF117" i="32"/>
  <c r="V117" i="32"/>
  <c r="AD252" i="32"/>
  <c r="T252" i="32"/>
  <c r="Y252" i="32"/>
  <c r="Q190" i="32"/>
  <c r="Q162" i="32"/>
  <c r="V122" i="32"/>
  <c r="AF122" i="32"/>
  <c r="AA122" i="32"/>
  <c r="AK122" i="32"/>
  <c r="W125" i="32"/>
  <c r="R193" i="32"/>
  <c r="AL125" i="32"/>
  <c r="R165" i="32"/>
  <c r="AG125" i="32"/>
  <c r="AB125" i="32"/>
  <c r="P184" i="32"/>
  <c r="P156" i="32"/>
  <c r="AJ116" i="32"/>
  <c r="Z116" i="32"/>
  <c r="AE116" i="32"/>
  <c r="U116" i="32"/>
  <c r="R170" i="32"/>
  <c r="AB130" i="32"/>
  <c r="R198" i="32"/>
  <c r="AL130" i="32"/>
  <c r="W130" i="32"/>
  <c r="AG130" i="32"/>
  <c r="AD163" i="32"/>
  <c r="Y163" i="32"/>
  <c r="P166" i="32"/>
  <c r="P194" i="32"/>
  <c r="Z126" i="32"/>
  <c r="AJ126" i="32"/>
  <c r="AE126" i="32"/>
  <c r="U126" i="32"/>
  <c r="O188" i="32"/>
  <c r="O160" i="32"/>
  <c r="T120" i="32"/>
  <c r="AI120" i="32"/>
  <c r="AD120" i="32"/>
  <c r="Y120" i="32"/>
  <c r="O196" i="32"/>
  <c r="O168" i="32"/>
  <c r="T168" i="32" s="1"/>
  <c r="AD128" i="32"/>
  <c r="T128" i="32"/>
  <c r="AI128" i="32"/>
  <c r="Y128" i="32"/>
  <c r="R248" i="32"/>
  <c r="R221" i="32"/>
  <c r="AG91" i="32"/>
  <c r="W91" i="32"/>
  <c r="AL91" i="32"/>
  <c r="AB91" i="32"/>
  <c r="R185" i="32"/>
  <c r="AL117" i="32"/>
  <c r="AB117" i="32"/>
  <c r="R157" i="32"/>
  <c r="AG117" i="32"/>
  <c r="W117" i="32"/>
  <c r="O180" i="32"/>
  <c r="T112" i="32"/>
  <c r="AI112" i="32"/>
  <c r="AD112" i="32"/>
  <c r="Y112" i="32"/>
  <c r="O152" i="32"/>
  <c r="AA217" i="32"/>
  <c r="V217" i="32"/>
  <c r="AF217" i="32"/>
  <c r="Q186" i="32"/>
  <c r="Q158" i="32"/>
  <c r="AK118" i="32"/>
  <c r="AA118" i="32"/>
  <c r="V118" i="32"/>
  <c r="AF118" i="32"/>
  <c r="R246" i="32"/>
  <c r="R219" i="32"/>
  <c r="AL89" i="32"/>
  <c r="AB89" i="32"/>
  <c r="AG89" i="32"/>
  <c r="W89" i="32"/>
  <c r="P177" i="32"/>
  <c r="P149" i="32"/>
  <c r="AJ109" i="32"/>
  <c r="Z109" i="32"/>
  <c r="U109" i="32"/>
  <c r="AE109" i="32"/>
  <c r="Y225" i="32"/>
  <c r="T225" i="32"/>
  <c r="AD225" i="32"/>
  <c r="O187" i="32"/>
  <c r="O159" i="32"/>
  <c r="AI119" i="32"/>
  <c r="AD119" i="32"/>
  <c r="Y119" i="32"/>
  <c r="T119" i="32"/>
  <c r="R151" i="32"/>
  <c r="AL111" i="32"/>
  <c r="AB111" i="32"/>
  <c r="R179" i="32"/>
  <c r="AG111" i="32"/>
  <c r="W111" i="32"/>
  <c r="O223" i="32"/>
  <c r="O250" i="32"/>
  <c r="T93" i="32"/>
  <c r="AD93" i="32"/>
  <c r="Y93" i="32"/>
  <c r="AI93" i="32"/>
  <c r="Z234" i="32"/>
  <c r="AE234" i="32"/>
  <c r="U234" i="32"/>
  <c r="P240" i="32"/>
  <c r="P213" i="32"/>
  <c r="AJ83" i="32"/>
  <c r="Z83" i="32"/>
  <c r="U83" i="32"/>
  <c r="AE83" i="32"/>
  <c r="AK109" i="32"/>
  <c r="AA109" i="32"/>
  <c r="Q177" i="32"/>
  <c r="Q149" i="32"/>
  <c r="AF109" i="32"/>
  <c r="V109" i="32"/>
  <c r="AD158" i="32"/>
  <c r="T158" i="32"/>
  <c r="Y158" i="32"/>
  <c r="AE209" i="32"/>
  <c r="Z209" i="32"/>
  <c r="U209" i="32"/>
  <c r="Q188" i="32"/>
  <c r="Q160" i="32"/>
  <c r="AK120" i="32"/>
  <c r="AA120" i="32"/>
  <c r="V120" i="32"/>
  <c r="AF120" i="32"/>
  <c r="AK115" i="32"/>
  <c r="AA115" i="32"/>
  <c r="Q183" i="32"/>
  <c r="V115" i="32"/>
  <c r="Q155" i="32"/>
  <c r="AF115" i="32"/>
  <c r="AG225" i="32"/>
  <c r="W225" i="32"/>
  <c r="AB225" i="32"/>
  <c r="AG245" i="32"/>
  <c r="W245" i="32"/>
  <c r="AB245" i="32"/>
  <c r="Z206" i="32"/>
  <c r="AE206" i="32"/>
  <c r="U206" i="32"/>
  <c r="AG214" i="32"/>
  <c r="W214" i="32"/>
  <c r="AB214" i="32"/>
  <c r="AK84" i="32"/>
  <c r="AK76" i="32"/>
  <c r="Y214" i="32"/>
  <c r="AD214" i="32"/>
  <c r="T214" i="32"/>
  <c r="Q192" i="32"/>
  <c r="V124" i="32"/>
  <c r="AF124" i="32"/>
  <c r="Q164" i="32"/>
  <c r="AK124" i="32"/>
  <c r="AA124" i="32"/>
  <c r="R194" i="32"/>
  <c r="AL126" i="32"/>
  <c r="W126" i="32"/>
  <c r="R166" i="32"/>
  <c r="AB126" i="32"/>
  <c r="AG126" i="32"/>
  <c r="AE124" i="32"/>
  <c r="AD254" i="32"/>
  <c r="T254" i="32"/>
  <c r="Y254" i="32"/>
  <c r="P176" i="32"/>
  <c r="P148" i="32"/>
  <c r="AJ108" i="32"/>
  <c r="Z108" i="32"/>
  <c r="AE108" i="32"/>
  <c r="U108" i="32"/>
  <c r="P170" i="32"/>
  <c r="P198" i="32"/>
  <c r="Z130" i="32"/>
  <c r="AJ130" i="32"/>
  <c r="U130" i="32"/>
  <c r="AE130" i="32"/>
  <c r="Q176" i="32"/>
  <c r="Q148" i="32"/>
  <c r="AK108" i="32"/>
  <c r="AA108" i="32"/>
  <c r="AF108" i="32"/>
  <c r="V108" i="32"/>
  <c r="Q154" i="32"/>
  <c r="Q182" i="32"/>
  <c r="AK114" i="32"/>
  <c r="AA114" i="32"/>
  <c r="AF114" i="32"/>
  <c r="V114" i="32"/>
  <c r="Y241" i="32"/>
  <c r="AK125" i="32"/>
  <c r="R167" i="32"/>
  <c r="AB127" i="32"/>
  <c r="AG127" i="32"/>
  <c r="R195" i="32"/>
  <c r="W127" i="32"/>
  <c r="AL127" i="32"/>
  <c r="P185" i="32"/>
  <c r="P157" i="32"/>
  <c r="AJ117" i="32"/>
  <c r="Z117" i="32"/>
  <c r="U117" i="32"/>
  <c r="AE117" i="32"/>
  <c r="R249" i="32"/>
  <c r="R222" i="32"/>
  <c r="AG92" i="32"/>
  <c r="AB92" i="32"/>
  <c r="AL92" i="32"/>
  <c r="W92" i="32"/>
  <c r="R169" i="32"/>
  <c r="W129" i="32"/>
  <c r="R197" i="32"/>
  <c r="AL129" i="32"/>
  <c r="AB129" i="32"/>
  <c r="AG129" i="32"/>
  <c r="O199" i="32"/>
  <c r="O171" i="32"/>
  <c r="AD131" i="32"/>
  <c r="T131" i="32"/>
  <c r="Y131" i="32"/>
  <c r="AI131" i="32"/>
  <c r="R247" i="32"/>
  <c r="R220" i="32"/>
  <c r="AL90" i="32"/>
  <c r="AB90" i="32"/>
  <c r="AG90" i="32"/>
  <c r="W90" i="32"/>
  <c r="AF219" i="32"/>
  <c r="V219" i="32"/>
  <c r="AA219" i="32"/>
  <c r="R158" i="32"/>
  <c r="R186" i="32"/>
  <c r="AL118" i="32"/>
  <c r="AB118" i="32"/>
  <c r="AG118" i="32"/>
  <c r="W118" i="32"/>
  <c r="O182" i="32"/>
  <c r="O154" i="32"/>
  <c r="T114" i="32"/>
  <c r="AI114" i="32"/>
  <c r="AD114" i="32"/>
  <c r="Y114" i="32"/>
  <c r="AA244" i="32"/>
  <c r="AF244" i="32"/>
  <c r="V244" i="32"/>
  <c r="AK119" i="32"/>
  <c r="AA119" i="32"/>
  <c r="AF119" i="32"/>
  <c r="Q187" i="32"/>
  <c r="V119" i="32"/>
  <c r="Q159" i="32"/>
  <c r="AE211" i="32"/>
  <c r="U211" i="32"/>
  <c r="Z211" i="32"/>
  <c r="Y165" i="32"/>
  <c r="T165" i="32"/>
  <c r="AD165" i="32"/>
  <c r="AG223" i="32"/>
  <c r="W223" i="32"/>
  <c r="AB223" i="32"/>
  <c r="AA213" i="32"/>
  <c r="V213" i="32"/>
  <c r="AF213" i="32"/>
  <c r="P178" i="32"/>
  <c r="P150" i="32"/>
  <c r="AJ110" i="32"/>
  <c r="Z110" i="32"/>
  <c r="U110" i="32"/>
  <c r="AE110" i="32"/>
  <c r="R232" i="32"/>
  <c r="R205" i="32"/>
  <c r="AL75" i="32"/>
  <c r="AB75" i="32"/>
  <c r="AG75" i="32"/>
  <c r="W75" i="32"/>
  <c r="O220" i="32"/>
  <c r="O247" i="32"/>
  <c r="AI90" i="32"/>
  <c r="Y90" i="32"/>
  <c r="AD90" i="32"/>
  <c r="T90" i="32"/>
  <c r="P242" i="32"/>
  <c r="P215" i="32"/>
  <c r="AJ85" i="32"/>
  <c r="Z85" i="32"/>
  <c r="AE85" i="32"/>
  <c r="U85" i="32"/>
  <c r="Q150" i="32"/>
  <c r="Q178" i="32"/>
  <c r="AK110" i="32"/>
  <c r="AA110" i="32"/>
  <c r="V110" i="32"/>
  <c r="AF110" i="32"/>
  <c r="Z236" i="32"/>
  <c r="AE236" i="32"/>
  <c r="U236" i="32"/>
  <c r="Q189" i="32"/>
  <c r="Q161" i="32"/>
  <c r="AA121" i="32"/>
  <c r="AF121" i="32"/>
  <c r="V121" i="32"/>
  <c r="AK121" i="32"/>
  <c r="O213" i="32"/>
  <c r="O240" i="32"/>
  <c r="AI83" i="32"/>
  <c r="T83" i="32"/>
  <c r="AD83" i="32"/>
  <c r="Y83" i="32"/>
  <c r="O236" i="32"/>
  <c r="O209" i="32"/>
  <c r="AD79" i="32"/>
  <c r="T79" i="32"/>
  <c r="AI79" i="32"/>
  <c r="Y79" i="32"/>
  <c r="AG252" i="32"/>
  <c r="W252" i="32"/>
  <c r="AB252" i="32"/>
  <c r="AD243" i="32"/>
  <c r="T243" i="32"/>
  <c r="Y243" i="32"/>
  <c r="Z233" i="32"/>
  <c r="U233" i="32"/>
  <c r="AE233" i="32"/>
  <c r="AG241" i="32"/>
  <c r="W241" i="32"/>
  <c r="AB241" i="32"/>
  <c r="P181" i="32"/>
  <c r="P153" i="32"/>
  <c r="AJ113" i="32"/>
  <c r="Z113" i="32"/>
  <c r="AE113" i="32"/>
  <c r="U113" i="32"/>
  <c r="Y211" i="32"/>
  <c r="T211" i="32"/>
  <c r="AD211" i="32"/>
  <c r="V169" i="32"/>
  <c r="AF169" i="32"/>
  <c r="AA169" i="32"/>
  <c r="Q254" i="32"/>
  <c r="Q227" i="32"/>
  <c r="AK97" i="32"/>
  <c r="AA97" i="32"/>
  <c r="V97" i="32"/>
  <c r="AF97" i="32"/>
  <c r="O183" i="32"/>
  <c r="O155" i="32"/>
  <c r="Y115" i="32"/>
  <c r="T115" i="32"/>
  <c r="AI115" i="32"/>
  <c r="AD115" i="32"/>
  <c r="R244" i="32"/>
  <c r="R217" i="32"/>
  <c r="AL87" i="32"/>
  <c r="AB87" i="32"/>
  <c r="AG87" i="32"/>
  <c r="W87" i="32"/>
  <c r="R150" i="32"/>
  <c r="AL110" i="32"/>
  <c r="AB110" i="32"/>
  <c r="AG110" i="32"/>
  <c r="W110" i="32"/>
  <c r="R178" i="32"/>
  <c r="P239" i="32"/>
  <c r="P212" i="32"/>
  <c r="AJ82" i="32"/>
  <c r="Z82" i="32"/>
  <c r="AE82" i="32"/>
  <c r="U82" i="32"/>
  <c r="AA243" i="32"/>
  <c r="AF243" i="32"/>
  <c r="V243" i="32"/>
  <c r="AG218" i="32"/>
  <c r="W218" i="32"/>
  <c r="AB218" i="32"/>
  <c r="Q196" i="32"/>
  <c r="Q168" i="32"/>
  <c r="V168" i="32" s="1"/>
  <c r="V128" i="32"/>
  <c r="AF128" i="32"/>
  <c r="AK128" i="32"/>
  <c r="AA128" i="32"/>
  <c r="O192" i="32"/>
  <c r="AD124" i="32"/>
  <c r="T124" i="32"/>
  <c r="O164" i="32"/>
  <c r="Y124" i="32"/>
  <c r="AI124" i="32"/>
  <c r="P247" i="32"/>
  <c r="P220" i="32"/>
  <c r="AJ90" i="32"/>
  <c r="Z90" i="32"/>
  <c r="AE90" i="32"/>
  <c r="U90" i="32"/>
  <c r="P158" i="32"/>
  <c r="P186" i="32"/>
  <c r="AJ118" i="32"/>
  <c r="Z118" i="32"/>
  <c r="U118" i="32"/>
  <c r="AE118" i="32"/>
  <c r="W128" i="32"/>
  <c r="R196" i="32"/>
  <c r="AG128" i="32"/>
  <c r="AB128" i="32"/>
  <c r="R168" i="32"/>
  <c r="W168" i="32" s="1"/>
  <c r="AL128" i="32"/>
  <c r="AA193" i="32"/>
  <c r="V193" i="32"/>
  <c r="AF193" i="32"/>
  <c r="O198" i="32"/>
  <c r="O170" i="32"/>
  <c r="AD130" i="32"/>
  <c r="T130" i="32"/>
  <c r="AI130" i="32"/>
  <c r="Y130" i="32"/>
  <c r="R162" i="32"/>
  <c r="R190" i="32"/>
  <c r="AL122" i="32"/>
  <c r="AG122" i="32"/>
  <c r="AB122" i="32"/>
  <c r="W122" i="32"/>
  <c r="AE192" i="32"/>
  <c r="U192" i="32"/>
  <c r="Z192" i="32"/>
  <c r="AA246" i="32"/>
  <c r="AF246" i="32"/>
  <c r="V246" i="32"/>
  <c r="R187" i="32"/>
  <c r="R159" i="32"/>
  <c r="AL119" i="32"/>
  <c r="AB119" i="32"/>
  <c r="AG119" i="32"/>
  <c r="W119" i="32"/>
  <c r="Z205" i="32"/>
  <c r="AE205" i="32"/>
  <c r="U205" i="32"/>
  <c r="Z238" i="32"/>
  <c r="AE238" i="32"/>
  <c r="U238" i="32"/>
  <c r="Y193" i="32"/>
  <c r="AD193" i="32"/>
  <c r="T193" i="32"/>
  <c r="AG250" i="32"/>
  <c r="W250" i="32"/>
  <c r="AB250" i="32"/>
  <c r="AA240" i="32"/>
  <c r="AF240" i="32"/>
  <c r="V240" i="32"/>
  <c r="P179" i="32"/>
  <c r="P151" i="32"/>
  <c r="AJ111" i="32"/>
  <c r="Z111" i="32"/>
  <c r="AE111" i="32"/>
  <c r="U111" i="32"/>
  <c r="AD253" i="32"/>
  <c r="T253" i="32"/>
  <c r="Y253" i="32"/>
  <c r="O212" i="32"/>
  <c r="O239" i="32"/>
  <c r="T82" i="32"/>
  <c r="AD82" i="32"/>
  <c r="AI82" i="32"/>
  <c r="Y82" i="32"/>
  <c r="R231" i="32"/>
  <c r="R204" i="32"/>
  <c r="W74" i="32"/>
  <c r="AL74" i="32"/>
  <c r="AB74" i="32"/>
  <c r="AG74" i="32"/>
  <c r="O221" i="32"/>
  <c r="O248" i="32"/>
  <c r="AI91" i="32"/>
  <c r="Y91" i="32"/>
  <c r="T91" i="32"/>
  <c r="AD91" i="32"/>
  <c r="R240" i="32"/>
  <c r="R213" i="32"/>
  <c r="W83" i="32"/>
  <c r="AG83" i="32"/>
  <c r="AB83" i="32"/>
  <c r="AL83" i="32"/>
  <c r="AK111" i="32"/>
  <c r="AA111" i="32"/>
  <c r="Q179" i="32"/>
  <c r="Q151" i="32"/>
  <c r="AF111" i="32"/>
  <c r="V111" i="32"/>
  <c r="Y186" i="32"/>
  <c r="AD186" i="32"/>
  <c r="T186" i="32"/>
  <c r="Q245" i="32"/>
  <c r="Q218" i="32"/>
  <c r="AK88" i="32"/>
  <c r="AA88" i="32"/>
  <c r="AF88" i="32"/>
  <c r="V88" i="32"/>
  <c r="O208" i="32"/>
  <c r="O235" i="32"/>
  <c r="AD78" i="32"/>
  <c r="T78" i="32"/>
  <c r="AI78" i="32"/>
  <c r="Y78" i="32"/>
  <c r="Y216" i="32"/>
  <c r="AD216" i="32"/>
  <c r="T216" i="32"/>
  <c r="AK85" i="32"/>
  <c r="AB209" i="32"/>
  <c r="AG209" i="32"/>
  <c r="W209" i="32"/>
  <c r="AD249" i="32"/>
  <c r="T249" i="32"/>
  <c r="Y249" i="32"/>
  <c r="AA233" i="32"/>
  <c r="P183" i="32"/>
  <c r="P155" i="32"/>
  <c r="AJ115" i="32"/>
  <c r="Z115" i="32"/>
  <c r="U115" i="32"/>
  <c r="AE115" i="32"/>
  <c r="R156" i="32"/>
  <c r="R184" i="32"/>
  <c r="AL116" i="32"/>
  <c r="AB116" i="32"/>
  <c r="AG116" i="32"/>
  <c r="W116" i="32"/>
  <c r="O157" i="32"/>
  <c r="O185" i="32"/>
  <c r="T117" i="32"/>
  <c r="AI117" i="32"/>
  <c r="Y117" i="32"/>
  <c r="AD117" i="32"/>
  <c r="R155" i="32"/>
  <c r="AL115" i="32"/>
  <c r="AB115" i="32"/>
  <c r="R183" i="32"/>
  <c r="AG115" i="32"/>
  <c r="W115" i="32"/>
  <c r="AK89" i="32"/>
  <c r="Q199" i="32"/>
  <c r="AF131" i="32"/>
  <c r="Q171" i="32"/>
  <c r="AK131" i="32"/>
  <c r="V131" i="32"/>
  <c r="AA131" i="32"/>
  <c r="P162" i="32"/>
  <c r="P190" i="32"/>
  <c r="U122" i="32"/>
  <c r="AE122" i="32"/>
  <c r="AJ122" i="32"/>
  <c r="Z122" i="32"/>
  <c r="P159" i="32"/>
  <c r="P187" i="32"/>
  <c r="AJ119" i="32"/>
  <c r="Z119" i="32"/>
  <c r="AE119" i="32"/>
  <c r="U119" i="32"/>
  <c r="Y191" i="32"/>
  <c r="AD191" i="32"/>
  <c r="T191" i="32"/>
  <c r="V166" i="32"/>
  <c r="AF166" i="32"/>
  <c r="AA166" i="32"/>
  <c r="R171" i="32"/>
  <c r="AB131" i="32"/>
  <c r="W131" i="32"/>
  <c r="R199" i="32"/>
  <c r="AL131" i="32"/>
  <c r="AG131" i="32"/>
  <c r="O197" i="32"/>
  <c r="O169" i="32"/>
  <c r="AD129" i="32"/>
  <c r="T129" i="32"/>
  <c r="Y129" i="32"/>
  <c r="AI129" i="32"/>
  <c r="R188" i="32"/>
  <c r="AL120" i="32"/>
  <c r="AB120" i="32"/>
  <c r="AG120" i="32"/>
  <c r="W120" i="32"/>
  <c r="R160" i="32"/>
  <c r="Z164" i="32"/>
  <c r="U164" i="32"/>
  <c r="Z232" i="32"/>
  <c r="AE232" i="32"/>
  <c r="U232" i="32"/>
  <c r="AG212" i="32"/>
  <c r="W212" i="32"/>
  <c r="AB212" i="32"/>
  <c r="O184" i="32"/>
  <c r="O156" i="32"/>
  <c r="AD116" i="32"/>
  <c r="Y116" i="32"/>
  <c r="T116" i="32"/>
  <c r="AI116" i="32"/>
  <c r="Z204" i="32"/>
  <c r="AE204" i="32"/>
  <c r="U204" i="32"/>
  <c r="Y226" i="32"/>
  <c r="T226" i="32"/>
  <c r="AD226" i="32"/>
  <c r="AE221" i="32"/>
  <c r="U221" i="32"/>
  <c r="Z221" i="32"/>
  <c r="Q232" i="32"/>
  <c r="Q205" i="32"/>
  <c r="AF75" i="32"/>
  <c r="V75" i="32"/>
  <c r="AK75" i="32"/>
  <c r="AA75" i="32"/>
  <c r="AK86" i="32"/>
  <c r="O234" i="32"/>
  <c r="O207" i="32"/>
  <c r="AD77" i="32"/>
  <c r="T77" i="32"/>
  <c r="AI77" i="32"/>
  <c r="Y77" i="32"/>
  <c r="AD178" i="32"/>
  <c r="T178" i="32"/>
  <c r="Y178" i="32"/>
  <c r="AE191" i="32"/>
  <c r="U191" i="32"/>
  <c r="Z191" i="32"/>
  <c r="AF211" i="32"/>
  <c r="V211" i="32"/>
  <c r="AA211" i="32"/>
  <c r="AG236" i="32"/>
  <c r="W236" i="32"/>
  <c r="AB236" i="32"/>
  <c r="Y222" i="32"/>
  <c r="AD222" i="32"/>
  <c r="T222" i="32"/>
  <c r="V214" i="32"/>
  <c r="AF214" i="32"/>
  <c r="AA214" i="32"/>
  <c r="AK82" i="32"/>
  <c r="AD233" i="32"/>
  <c r="T233" i="32"/>
  <c r="Y233" i="32"/>
  <c r="P243" i="32"/>
  <c r="P216" i="32"/>
  <c r="AJ86" i="32"/>
  <c r="Z86" i="32"/>
  <c r="AE86" i="32"/>
  <c r="U86" i="32"/>
  <c r="Q250" i="32"/>
  <c r="Q223" i="32"/>
  <c r="AK93" i="32"/>
  <c r="AA93" i="32"/>
  <c r="V93" i="32"/>
  <c r="AF93" i="32"/>
  <c r="O204" i="32"/>
  <c r="O231" i="32"/>
  <c r="AD74" i="32"/>
  <c r="T74" i="32"/>
  <c r="AI74" i="32"/>
  <c r="Y74" i="32"/>
  <c r="AA237" i="32"/>
  <c r="V237" i="32"/>
  <c r="AF237" i="32"/>
  <c r="Q198" i="32"/>
  <c r="Q170" i="32"/>
  <c r="AA130" i="32"/>
  <c r="AK130" i="32"/>
  <c r="AF130" i="32"/>
  <c r="V130" i="32"/>
  <c r="P188" i="32"/>
  <c r="P160" i="32"/>
  <c r="AJ120" i="32"/>
  <c r="Z120" i="32"/>
  <c r="U120" i="32"/>
  <c r="AE120" i="32"/>
  <c r="P180" i="32"/>
  <c r="AJ112" i="32"/>
  <c r="Z112" i="32"/>
  <c r="U112" i="32"/>
  <c r="P152" i="32"/>
  <c r="AE112" i="32"/>
  <c r="AK129" i="32"/>
  <c r="P167" i="32"/>
  <c r="P195" i="32"/>
  <c r="U127" i="32"/>
  <c r="AE127" i="32"/>
  <c r="Z127" i="32"/>
  <c r="AJ127" i="32"/>
  <c r="AK126" i="32"/>
  <c r="O195" i="32"/>
  <c r="O167" i="32"/>
  <c r="AD127" i="32"/>
  <c r="T127" i="32"/>
  <c r="AI127" i="32"/>
  <c r="Y127" i="32"/>
  <c r="P249" i="32"/>
  <c r="P222" i="32"/>
  <c r="U92" i="32"/>
  <c r="AE92" i="32"/>
  <c r="AJ92" i="32"/>
  <c r="Z92" i="32"/>
  <c r="Q253" i="32"/>
  <c r="Q226" i="32"/>
  <c r="AF96" i="32"/>
  <c r="V96" i="32"/>
  <c r="AK96" i="32"/>
  <c r="AA96" i="32"/>
  <c r="R161" i="32"/>
  <c r="R189" i="32"/>
  <c r="AB121" i="32"/>
  <c r="AL121" i="32"/>
  <c r="AG121" i="32"/>
  <c r="W121" i="32"/>
  <c r="R251" i="32"/>
  <c r="R224" i="32"/>
  <c r="W94" i="32"/>
  <c r="AG94" i="32"/>
  <c r="AL94" i="32"/>
  <c r="AB94" i="32"/>
  <c r="O218" i="32"/>
  <c r="O245" i="32"/>
  <c r="AD88" i="32"/>
  <c r="T88" i="32"/>
  <c r="AI88" i="32"/>
  <c r="Y88" i="32"/>
  <c r="AD238" i="32"/>
  <c r="W215" i="32"/>
  <c r="AG239" i="32"/>
  <c r="W239" i="32"/>
  <c r="AB239" i="32"/>
  <c r="AE225" i="32"/>
  <c r="U225" i="32"/>
  <c r="Z225" i="32"/>
  <c r="AF220" i="32"/>
  <c r="AA220" i="32"/>
  <c r="V220" i="32"/>
  <c r="Z231" i="32"/>
  <c r="AE231" i="32"/>
  <c r="U231" i="32"/>
  <c r="R235" i="32"/>
  <c r="R208" i="32"/>
  <c r="AL78" i="32"/>
  <c r="AB78" i="32"/>
  <c r="AG78" i="32"/>
  <c r="W78" i="32"/>
  <c r="P171" i="32"/>
  <c r="P199" i="32"/>
  <c r="U131" i="32"/>
  <c r="AE131" i="32"/>
  <c r="Z131" i="32"/>
  <c r="AJ131" i="32"/>
  <c r="Z248" i="32"/>
  <c r="AE248" i="32"/>
  <c r="U248" i="32"/>
  <c r="Q236" i="32"/>
  <c r="Q209" i="32"/>
  <c r="AF79" i="32"/>
  <c r="V79" i="32"/>
  <c r="AK79" i="32"/>
  <c r="AA79" i="32"/>
  <c r="Q231" i="32"/>
  <c r="Q204" i="32"/>
  <c r="AF74" i="32"/>
  <c r="V74" i="32"/>
  <c r="AK74" i="32"/>
  <c r="AA74" i="32"/>
  <c r="R152" i="32"/>
  <c r="AL112" i="32"/>
  <c r="AB112" i="32"/>
  <c r="AG112" i="32"/>
  <c r="W112" i="32"/>
  <c r="R180" i="32"/>
  <c r="AD150" i="32"/>
  <c r="T150" i="32"/>
  <c r="Y150" i="32"/>
  <c r="R238" i="32"/>
  <c r="R211" i="32"/>
  <c r="AL81" i="32"/>
  <c r="W81" i="32"/>
  <c r="AG81" i="32"/>
  <c r="AB81" i="32"/>
  <c r="O177" i="32"/>
  <c r="O149" i="32"/>
  <c r="T109" i="32"/>
  <c r="AI109" i="32"/>
  <c r="Y109" i="32"/>
  <c r="AD109" i="32"/>
  <c r="Z163" i="32"/>
  <c r="AE163" i="32"/>
  <c r="U163" i="32"/>
  <c r="AA238" i="32"/>
  <c r="AF238" i="32"/>
  <c r="V238" i="32"/>
  <c r="AF215" i="32"/>
  <c r="AA215" i="32"/>
  <c r="V215" i="32"/>
  <c r="AK80" i="32"/>
  <c r="AG226" i="32"/>
  <c r="W226" i="32"/>
  <c r="AB226" i="32"/>
  <c r="AA241" i="32"/>
  <c r="V241" i="32"/>
  <c r="AF241" i="32"/>
  <c r="AD206" i="32"/>
  <c r="T206" i="32"/>
  <c r="Y206" i="32"/>
  <c r="D79" i="31"/>
  <c r="E81" i="31"/>
  <c r="P111" i="31"/>
  <c r="E62" i="31" s="1"/>
  <c r="R128" i="31"/>
  <c r="R143" i="31" s="1"/>
  <c r="Q128" i="31"/>
  <c r="Q143" i="31" s="1"/>
  <c r="P122" i="31"/>
  <c r="O131" i="31"/>
  <c r="L131" i="31" s="1"/>
  <c r="R111" i="31"/>
  <c r="G62" i="31" s="1"/>
  <c r="I53" i="31"/>
  <c r="I95" i="31" s="1"/>
  <c r="L128" i="31"/>
  <c r="L97" i="31"/>
  <c r="L95" i="31"/>
  <c r="L116" i="31"/>
  <c r="L111" i="31"/>
  <c r="L109" i="31"/>
  <c r="L96" i="31"/>
  <c r="L94" i="31"/>
  <c r="L91" i="31"/>
  <c r="L90" i="31"/>
  <c r="L89" i="31"/>
  <c r="L88" i="31"/>
  <c r="L115" i="31"/>
  <c r="L114" i="31"/>
  <c r="L113" i="31"/>
  <c r="L110" i="31"/>
  <c r="L108" i="31"/>
  <c r="L122" i="31"/>
  <c r="O143" i="31"/>
  <c r="O155" i="31" s="1"/>
  <c r="R112" i="31"/>
  <c r="G63" i="31" s="1"/>
  <c r="O112" i="31"/>
  <c r="D63" i="31" s="1"/>
  <c r="Q111" i="31"/>
  <c r="F62" i="31" s="1"/>
  <c r="J115" i="31"/>
  <c r="J114" i="31"/>
  <c r="J113" i="31"/>
  <c r="J110" i="31"/>
  <c r="J108" i="31"/>
  <c r="J97" i="31"/>
  <c r="J95" i="31"/>
  <c r="J116" i="31"/>
  <c r="J111" i="31"/>
  <c r="J109" i="31"/>
  <c r="J117" i="31" s="1"/>
  <c r="J96" i="31"/>
  <c r="J94" i="31"/>
  <c r="J91" i="31"/>
  <c r="J90" i="31"/>
  <c r="J89" i="31"/>
  <c r="J88" i="31"/>
  <c r="L130" i="31"/>
  <c r="R114" i="31"/>
  <c r="G65" i="31" s="1"/>
  <c r="R120" i="31"/>
  <c r="G79" i="31"/>
  <c r="Q114" i="31"/>
  <c r="F65" i="31" s="1"/>
  <c r="Q120" i="31"/>
  <c r="L139" i="31"/>
  <c r="O129" i="31"/>
  <c r="R122" i="31"/>
  <c r="K97" i="31"/>
  <c r="K95" i="31"/>
  <c r="K116" i="31"/>
  <c r="K111" i="31"/>
  <c r="K109" i="31"/>
  <c r="K114" i="31"/>
  <c r="K108" i="31"/>
  <c r="K115" i="31"/>
  <c r="K96" i="31"/>
  <c r="K94" i="31"/>
  <c r="K91" i="31"/>
  <c r="K90" i="31"/>
  <c r="K89" i="31"/>
  <c r="K88" i="31"/>
  <c r="K113" i="31"/>
  <c r="K110" i="31"/>
  <c r="F81" i="31"/>
  <c r="Q112" i="31"/>
  <c r="F63" i="31" s="1"/>
  <c r="O111" i="31"/>
  <c r="D62" i="31" s="1"/>
  <c r="O113" i="31"/>
  <c r="D64" i="31" s="1"/>
  <c r="E79" i="31"/>
  <c r="P114" i="31"/>
  <c r="E65" i="31" s="1"/>
  <c r="P120" i="31"/>
  <c r="R113" i="31"/>
  <c r="G64" i="31" s="1"/>
  <c r="P121" i="31"/>
  <c r="Q130" i="31"/>
  <c r="D81" i="31"/>
  <c r="P113" i="31"/>
  <c r="E64" i="31" s="1"/>
  <c r="I114" i="31"/>
  <c r="I113" i="31"/>
  <c r="I110" i="31"/>
  <c r="I108" i="31"/>
  <c r="I97" i="31"/>
  <c r="I88" i="31"/>
  <c r="I116" i="31"/>
  <c r="I111" i="31"/>
  <c r="I109" i="31"/>
  <c r="I96" i="31"/>
  <c r="R130" i="31"/>
  <c r="R145" i="31" s="1"/>
  <c r="R129" i="31"/>
  <c r="Q129" i="31"/>
  <c r="Q144" i="31" s="1"/>
  <c r="P129" i="31"/>
  <c r="P145" i="31"/>
  <c r="P149" i="31" s="1"/>
  <c r="Q113" i="31"/>
  <c r="F64" i="31" s="1"/>
  <c r="O114" i="31"/>
  <c r="D65" i="31" s="1"/>
  <c r="A70" i="31" s="1"/>
  <c r="A71" i="31" s="1"/>
  <c r="J48" i="30"/>
  <c r="J79" i="30" s="1"/>
  <c r="R48" i="30"/>
  <c r="P48" i="30"/>
  <c r="L53" i="30"/>
  <c r="L96" i="30" s="1"/>
  <c r="J115" i="30"/>
  <c r="J114" i="30"/>
  <c r="J113" i="30"/>
  <c r="J110" i="30"/>
  <c r="J108" i="30"/>
  <c r="J97" i="30"/>
  <c r="J95" i="30"/>
  <c r="J116" i="30"/>
  <c r="J111" i="30"/>
  <c r="J109" i="30"/>
  <c r="J96" i="30"/>
  <c r="J94" i="30"/>
  <c r="J91" i="30"/>
  <c r="J90" i="30"/>
  <c r="J89" i="30"/>
  <c r="J88" i="30"/>
  <c r="O130" i="30"/>
  <c r="Q59" i="30"/>
  <c r="K48" i="30"/>
  <c r="K79" i="30" s="1"/>
  <c r="I115" i="30"/>
  <c r="I114" i="30"/>
  <c r="I113" i="30"/>
  <c r="I110" i="30"/>
  <c r="I108" i="30"/>
  <c r="I97" i="30"/>
  <c r="I95" i="30"/>
  <c r="I116" i="30"/>
  <c r="I111" i="30"/>
  <c r="I109" i="30"/>
  <c r="I117" i="30" s="1"/>
  <c r="I96" i="30"/>
  <c r="I94" i="30"/>
  <c r="I91" i="30"/>
  <c r="I90" i="30"/>
  <c r="I89" i="30"/>
  <c r="I88" i="30"/>
  <c r="L116" i="30"/>
  <c r="L94" i="30"/>
  <c r="L88" i="30"/>
  <c r="L110" i="30"/>
  <c r="K53" i="30"/>
  <c r="P59" i="30"/>
  <c r="Q129" i="30"/>
  <c r="Q128" i="30"/>
  <c r="P131" i="30"/>
  <c r="P130" i="30"/>
  <c r="P128" i="30"/>
  <c r="O128" i="30"/>
  <c r="O131" i="30"/>
  <c r="O129" i="30"/>
  <c r="K131" i="30"/>
  <c r="R131" i="30"/>
  <c r="R129" i="30"/>
  <c r="R130" i="30"/>
  <c r="R128" i="30"/>
  <c r="Q117" i="30"/>
  <c r="Q119" i="30"/>
  <c r="Q118" i="30"/>
  <c r="P117" i="30"/>
  <c r="P120" i="30"/>
  <c r="P119" i="30"/>
  <c r="P118" i="30"/>
  <c r="L139" i="30"/>
  <c r="O117" i="30"/>
  <c r="K119" i="30"/>
  <c r="O119" i="30"/>
  <c r="Q131" i="30"/>
  <c r="O59" i="30"/>
  <c r="R119" i="30"/>
  <c r="R118" i="30"/>
  <c r="G60" i="30"/>
  <c r="R53" i="30"/>
  <c r="R60" i="30" s="1"/>
  <c r="P129" i="30"/>
  <c r="Q130" i="30"/>
  <c r="O176" i="15"/>
  <c r="T176" i="15" s="1"/>
  <c r="AI108" i="15"/>
  <c r="Y108" i="15"/>
  <c r="O148" i="15"/>
  <c r="P239" i="15"/>
  <c r="P212" i="15"/>
  <c r="U82" i="15"/>
  <c r="AJ82" i="15"/>
  <c r="AE82" i="15"/>
  <c r="Z82" i="15"/>
  <c r="AB82" i="15"/>
  <c r="R239" i="15"/>
  <c r="AG239" i="15" s="1"/>
  <c r="R212" i="15"/>
  <c r="W82" i="15"/>
  <c r="AL82" i="15"/>
  <c r="AG82" i="15"/>
  <c r="V82" i="15"/>
  <c r="Q212" i="15"/>
  <c r="Q239" i="15"/>
  <c r="T82" i="15"/>
  <c r="AD82" i="15"/>
  <c r="Y82" i="15"/>
  <c r="O212" i="15"/>
  <c r="Q188" i="15"/>
  <c r="AA188" i="15" s="1"/>
  <c r="Q180" i="15"/>
  <c r="AA180" i="15" s="1"/>
  <c r="Q196" i="15"/>
  <c r="AA196" i="15" s="1"/>
  <c r="Q192" i="15"/>
  <c r="AF192" i="15" s="1"/>
  <c r="R176" i="15"/>
  <c r="R184" i="15"/>
  <c r="Q176" i="15"/>
  <c r="AF176" i="15" s="1"/>
  <c r="P184" i="15"/>
  <c r="AE184" i="15" s="1"/>
  <c r="R196" i="15"/>
  <c r="W196" i="15" s="1"/>
  <c r="R180" i="15"/>
  <c r="R188" i="15"/>
  <c r="R192" i="15"/>
  <c r="P176" i="15"/>
  <c r="P180" i="15"/>
  <c r="Q184" i="15"/>
  <c r="P188" i="15"/>
  <c r="P192" i="15"/>
  <c r="P196" i="15"/>
  <c r="AL124" i="15"/>
  <c r="AL112" i="15"/>
  <c r="AL116" i="15"/>
  <c r="AL128" i="15"/>
  <c r="V164" i="15"/>
  <c r="AB156" i="15"/>
  <c r="V148" i="15"/>
  <c r="AF156" i="15"/>
  <c r="AB148" i="15"/>
  <c r="Z160" i="15"/>
  <c r="AL108" i="15"/>
  <c r="AA160" i="15"/>
  <c r="V156" i="15"/>
  <c r="AL120" i="15"/>
  <c r="AA152" i="15"/>
  <c r="Z152" i="15"/>
  <c r="AF148" i="15"/>
  <c r="AB152" i="15"/>
  <c r="W152" i="15"/>
  <c r="AG152" i="15"/>
  <c r="AB160" i="15"/>
  <c r="W160" i="15"/>
  <c r="AG160" i="15"/>
  <c r="W164" i="15"/>
  <c r="AB164" i="15"/>
  <c r="U156" i="15"/>
  <c r="AE148" i="15"/>
  <c r="V152" i="15"/>
  <c r="R168" i="15"/>
  <c r="W168" i="15" s="1"/>
  <c r="U152" i="15"/>
  <c r="Z148" i="15"/>
  <c r="Z156" i="15"/>
  <c r="Q168" i="15"/>
  <c r="V168" i="15" s="1"/>
  <c r="W148" i="15"/>
  <c r="AJ108" i="15"/>
  <c r="AJ112" i="15"/>
  <c r="AJ116" i="15"/>
  <c r="AJ120" i="15"/>
  <c r="AJ124" i="15"/>
  <c r="AJ128" i="15"/>
  <c r="AE160" i="15"/>
  <c r="W156" i="15"/>
  <c r="AK108" i="15"/>
  <c r="AK112" i="15"/>
  <c r="AK116" i="15"/>
  <c r="AK120" i="15"/>
  <c r="AK124" i="15"/>
  <c r="AF160" i="15"/>
  <c r="P164" i="15"/>
  <c r="AB116" i="15"/>
  <c r="AG116" i="15"/>
  <c r="AA108" i="15"/>
  <c r="AF108" i="15"/>
  <c r="AA116" i="15"/>
  <c r="AF116" i="15"/>
  <c r="AF128" i="15"/>
  <c r="V128" i="15"/>
  <c r="AA128" i="15"/>
  <c r="AB108" i="15"/>
  <c r="AG108" i="15"/>
  <c r="AE108" i="15"/>
  <c r="Z108" i="15"/>
  <c r="U108" i="15"/>
  <c r="Z116" i="15"/>
  <c r="AE116" i="15"/>
  <c r="U116" i="15"/>
  <c r="AE128" i="15"/>
  <c r="U128" i="15"/>
  <c r="Z128" i="15"/>
  <c r="AG112" i="15"/>
  <c r="AB112" i="15"/>
  <c r="W112" i="15"/>
  <c r="W120" i="15"/>
  <c r="AG120" i="15"/>
  <c r="AB120" i="15"/>
  <c r="AB124" i="15"/>
  <c r="AG124" i="15"/>
  <c r="AF112" i="15"/>
  <c r="AA112" i="15"/>
  <c r="V112" i="15"/>
  <c r="V120" i="15"/>
  <c r="AF120" i="15"/>
  <c r="AA120" i="15"/>
  <c r="AA124" i="15"/>
  <c r="AF124" i="15"/>
  <c r="AE112" i="15"/>
  <c r="Z112" i="15"/>
  <c r="U112" i="15"/>
  <c r="AE120" i="15"/>
  <c r="Z120" i="15"/>
  <c r="U120" i="15"/>
  <c r="AB128" i="15"/>
  <c r="AE124" i="15"/>
  <c r="W124" i="15"/>
  <c r="W128" i="15"/>
  <c r="U124" i="15"/>
  <c r="V124" i="15"/>
  <c r="W108" i="15"/>
  <c r="W116" i="15"/>
  <c r="V108" i="15"/>
  <c r="V116" i="15"/>
  <c r="W242" i="32" l="1"/>
  <c r="AB215" i="32"/>
  <c r="AF208" i="15"/>
  <c r="V247" i="15"/>
  <c r="AA208" i="15"/>
  <c r="AF247" i="15"/>
  <c r="AF206" i="32"/>
  <c r="V206" i="32"/>
  <c r="Y224" i="32"/>
  <c r="T238" i="32"/>
  <c r="AF220" i="15"/>
  <c r="V235" i="15"/>
  <c r="AF235" i="15"/>
  <c r="J117" i="30"/>
  <c r="Y188" i="15"/>
  <c r="AD188" i="15"/>
  <c r="T188" i="15"/>
  <c r="T164" i="15"/>
  <c r="Y164" i="15"/>
  <c r="Y156" i="15"/>
  <c r="T156" i="15"/>
  <c r="T184" i="15"/>
  <c r="Y184" i="15"/>
  <c r="AD184" i="15"/>
  <c r="Y196" i="15"/>
  <c r="AD196" i="15"/>
  <c r="T196" i="15"/>
  <c r="T180" i="15"/>
  <c r="Y180" i="15"/>
  <c r="T160" i="15"/>
  <c r="Y160" i="15"/>
  <c r="Y192" i="15"/>
  <c r="AD192" i="15"/>
  <c r="T192" i="15"/>
  <c r="Y152" i="15"/>
  <c r="T152" i="15"/>
  <c r="Y235" i="15"/>
  <c r="T235" i="15"/>
  <c r="Z224" i="15"/>
  <c r="U224" i="15"/>
  <c r="AE224" i="15"/>
  <c r="AB235" i="15"/>
  <c r="W235" i="15"/>
  <c r="AA251" i="15"/>
  <c r="V251" i="15"/>
  <c r="AF251" i="15"/>
  <c r="AA243" i="15"/>
  <c r="V243" i="15"/>
  <c r="Z204" i="15"/>
  <c r="U204" i="15"/>
  <c r="AE204" i="15"/>
  <c r="AB251" i="15"/>
  <c r="W251" i="15"/>
  <c r="Z243" i="15"/>
  <c r="U243" i="15"/>
  <c r="W220" i="15"/>
  <c r="AB220" i="15"/>
  <c r="AA204" i="15"/>
  <c r="V204" i="15"/>
  <c r="Y224" i="15"/>
  <c r="T224" i="15"/>
  <c r="Y208" i="15"/>
  <c r="T208" i="15"/>
  <c r="AB216" i="15"/>
  <c r="W216" i="15"/>
  <c r="Y243" i="15"/>
  <c r="T243" i="15"/>
  <c r="AF243" i="15"/>
  <c r="AG251" i="15"/>
  <c r="U208" i="15"/>
  <c r="Z208" i="15"/>
  <c r="AB231" i="15"/>
  <c r="W231" i="15"/>
  <c r="Y251" i="15"/>
  <c r="T251" i="15"/>
  <c r="Z239" i="15"/>
  <c r="U239" i="15"/>
  <c r="AB239" i="15"/>
  <c r="W239" i="15"/>
  <c r="AE208" i="15"/>
  <c r="AA224" i="15"/>
  <c r="V224" i="15"/>
  <c r="AA231" i="15"/>
  <c r="V231" i="15"/>
  <c r="AF231" i="15"/>
  <c r="AB224" i="15"/>
  <c r="W224" i="15"/>
  <c r="AB204" i="15"/>
  <c r="W204" i="15"/>
  <c r="U220" i="15"/>
  <c r="Z220" i="15"/>
  <c r="AB243" i="15"/>
  <c r="W243" i="15"/>
  <c r="T216" i="15"/>
  <c r="Y216" i="15"/>
  <c r="T204" i="15"/>
  <c r="Y204" i="15"/>
  <c r="AD235" i="15"/>
  <c r="AB247" i="15"/>
  <c r="W247" i="15"/>
  <c r="V216" i="15"/>
  <c r="AA216" i="15"/>
  <c r="Z247" i="15"/>
  <c r="U247" i="15"/>
  <c r="AF239" i="15"/>
  <c r="V239" i="15"/>
  <c r="AA239" i="15"/>
  <c r="AG247" i="15"/>
  <c r="Y231" i="15"/>
  <c r="T231" i="15"/>
  <c r="AG243" i="15"/>
  <c r="AE239" i="15"/>
  <c r="Y247" i="15"/>
  <c r="T247" i="15"/>
  <c r="AD208" i="15"/>
  <c r="U231" i="15"/>
  <c r="Z231" i="15"/>
  <c r="Q156" i="31"/>
  <c r="Q148" i="31"/>
  <c r="AB207" i="32"/>
  <c r="Z207" i="32"/>
  <c r="AB242" i="32"/>
  <c r="W207" i="32"/>
  <c r="U207" i="32"/>
  <c r="AD210" i="32"/>
  <c r="Y251" i="32"/>
  <c r="T241" i="32"/>
  <c r="T251" i="32"/>
  <c r="AF233" i="32"/>
  <c r="V212" i="32"/>
  <c r="AD227" i="32"/>
  <c r="T210" i="32"/>
  <c r="Y227" i="32"/>
  <c r="T224" i="32"/>
  <c r="AD149" i="32"/>
  <c r="T149" i="32"/>
  <c r="Y149" i="32"/>
  <c r="W156" i="32"/>
  <c r="AG156" i="32"/>
  <c r="AB156" i="32"/>
  <c r="AD235" i="32"/>
  <c r="T235" i="32"/>
  <c r="Y235" i="32"/>
  <c r="Y212" i="32"/>
  <c r="AD212" i="32"/>
  <c r="T212" i="32"/>
  <c r="U151" i="32"/>
  <c r="AE151" i="32"/>
  <c r="Z151" i="32"/>
  <c r="Y198" i="32"/>
  <c r="AD198" i="32"/>
  <c r="T198" i="32"/>
  <c r="AG196" i="32"/>
  <c r="W196" i="32"/>
  <c r="AB196" i="32"/>
  <c r="T164" i="32"/>
  <c r="Y164" i="32"/>
  <c r="AG217" i="32"/>
  <c r="W217" i="32"/>
  <c r="AB217" i="32"/>
  <c r="Z153" i="32"/>
  <c r="AE153" i="32"/>
  <c r="U153" i="32"/>
  <c r="AE215" i="32"/>
  <c r="U215" i="32"/>
  <c r="Z215" i="32"/>
  <c r="V159" i="32"/>
  <c r="AA159" i="32"/>
  <c r="AF159" i="32"/>
  <c r="AG195" i="32"/>
  <c r="W195" i="32"/>
  <c r="AB195" i="32"/>
  <c r="AE198" i="32"/>
  <c r="U198" i="32"/>
  <c r="Z198" i="32"/>
  <c r="AG248" i="32"/>
  <c r="W248" i="32"/>
  <c r="AB248" i="32"/>
  <c r="AE156" i="32"/>
  <c r="U156" i="32"/>
  <c r="Z156" i="32"/>
  <c r="V207" i="32"/>
  <c r="AF207" i="32"/>
  <c r="AA207" i="32"/>
  <c r="AG243" i="32"/>
  <c r="W243" i="32"/>
  <c r="AB243" i="32"/>
  <c r="AE210" i="32"/>
  <c r="U210" i="32"/>
  <c r="Z210" i="32"/>
  <c r="AA225" i="32"/>
  <c r="V225" i="32"/>
  <c r="AF225" i="32"/>
  <c r="V208" i="32"/>
  <c r="AF208" i="32"/>
  <c r="AA208" i="32"/>
  <c r="AE169" i="32"/>
  <c r="U169" i="32"/>
  <c r="Z169" i="32"/>
  <c r="AG191" i="32"/>
  <c r="W191" i="32"/>
  <c r="AB191" i="32"/>
  <c r="AD177" i="32"/>
  <c r="T177" i="32"/>
  <c r="Y177" i="32"/>
  <c r="AG189" i="32"/>
  <c r="W189" i="32"/>
  <c r="AB189" i="32"/>
  <c r="AD207" i="32"/>
  <c r="T207" i="32"/>
  <c r="Y207" i="32"/>
  <c r="AA232" i="32"/>
  <c r="AF232" i="32"/>
  <c r="V232" i="32"/>
  <c r="AB160" i="32"/>
  <c r="W160" i="32"/>
  <c r="AG160" i="32"/>
  <c r="AG183" i="32"/>
  <c r="W183" i="32"/>
  <c r="AB183" i="32"/>
  <c r="AD185" i="32"/>
  <c r="T185" i="32"/>
  <c r="Y185" i="32"/>
  <c r="AD208" i="32"/>
  <c r="T208" i="32"/>
  <c r="Y208" i="32"/>
  <c r="AB204" i="32"/>
  <c r="AG204" i="32"/>
  <c r="W204" i="32"/>
  <c r="Z179" i="32"/>
  <c r="AE179" i="32"/>
  <c r="U179" i="32"/>
  <c r="AG190" i="32"/>
  <c r="W190" i="32"/>
  <c r="AB190" i="32"/>
  <c r="AA196" i="32"/>
  <c r="V196" i="32"/>
  <c r="AF196" i="32"/>
  <c r="AG244" i="32"/>
  <c r="W244" i="32"/>
  <c r="AB244" i="32"/>
  <c r="Z181" i="32"/>
  <c r="AE181" i="32"/>
  <c r="U181" i="32"/>
  <c r="V161" i="32"/>
  <c r="AF161" i="32"/>
  <c r="AA161" i="32"/>
  <c r="Z242" i="32"/>
  <c r="AE242" i="32"/>
  <c r="U242" i="32"/>
  <c r="AG169" i="32"/>
  <c r="AB169" i="32"/>
  <c r="W169" i="32"/>
  <c r="AE170" i="32"/>
  <c r="U170" i="32"/>
  <c r="Z170" i="32"/>
  <c r="AG194" i="32"/>
  <c r="W194" i="32"/>
  <c r="AB194" i="32"/>
  <c r="AG219" i="32"/>
  <c r="W219" i="32"/>
  <c r="AB219" i="32"/>
  <c r="AE194" i="32"/>
  <c r="U194" i="32"/>
  <c r="Z194" i="32"/>
  <c r="AG198" i="32"/>
  <c r="W198" i="32"/>
  <c r="AB198" i="32"/>
  <c r="AE184" i="32"/>
  <c r="Z184" i="32"/>
  <c r="U184" i="32"/>
  <c r="AD244" i="32"/>
  <c r="T244" i="32"/>
  <c r="Y244" i="32"/>
  <c r="AB206" i="32"/>
  <c r="AG206" i="32"/>
  <c r="W206" i="32"/>
  <c r="AA153" i="32"/>
  <c r="V153" i="32"/>
  <c r="AF153" i="32"/>
  <c r="AA234" i="32"/>
  <c r="AF234" i="32"/>
  <c r="V234" i="32"/>
  <c r="AE226" i="32"/>
  <c r="U226" i="32"/>
  <c r="Z226" i="32"/>
  <c r="Z237" i="32"/>
  <c r="U237" i="32"/>
  <c r="AE237" i="32"/>
  <c r="AA252" i="32"/>
  <c r="AF252" i="32"/>
  <c r="V252" i="32"/>
  <c r="Y190" i="32"/>
  <c r="AD190" i="32"/>
  <c r="T190" i="32"/>
  <c r="W164" i="32"/>
  <c r="AB164" i="32"/>
  <c r="AA195" i="32"/>
  <c r="V195" i="32"/>
  <c r="AF195" i="32"/>
  <c r="AA235" i="32"/>
  <c r="AF235" i="32"/>
  <c r="V235" i="32"/>
  <c r="AG176" i="32"/>
  <c r="W176" i="32"/>
  <c r="AB176" i="32"/>
  <c r="AE195" i="32"/>
  <c r="U195" i="32"/>
  <c r="Z195" i="32"/>
  <c r="AD234" i="32"/>
  <c r="T234" i="32"/>
  <c r="Y234" i="32"/>
  <c r="AB171" i="32"/>
  <c r="AG171" i="32"/>
  <c r="W171" i="32"/>
  <c r="AD157" i="32"/>
  <c r="T157" i="32"/>
  <c r="Y157" i="32"/>
  <c r="V148" i="32"/>
  <c r="AF148" i="32"/>
  <c r="AA148" i="32"/>
  <c r="V155" i="32"/>
  <c r="AF155" i="32"/>
  <c r="AA155" i="32"/>
  <c r="AG246" i="32"/>
  <c r="W246" i="32"/>
  <c r="AB246" i="32"/>
  <c r="Y166" i="32"/>
  <c r="T166" i="32"/>
  <c r="AD166" i="32"/>
  <c r="AG224" i="32"/>
  <c r="W224" i="32"/>
  <c r="AB224" i="32"/>
  <c r="Y167" i="32"/>
  <c r="T167" i="32"/>
  <c r="AD167" i="32"/>
  <c r="Y169" i="32"/>
  <c r="T169" i="32"/>
  <c r="AD169" i="32"/>
  <c r="AE190" i="32"/>
  <c r="U190" i="32"/>
  <c r="Z190" i="32"/>
  <c r="AD248" i="32"/>
  <c r="T248" i="32"/>
  <c r="Y248" i="32"/>
  <c r="Y192" i="32"/>
  <c r="AD192" i="32"/>
  <c r="T192" i="32"/>
  <c r="AB150" i="32"/>
  <c r="W150" i="32"/>
  <c r="AG150" i="32"/>
  <c r="AD240" i="32"/>
  <c r="T240" i="32"/>
  <c r="Y240" i="32"/>
  <c r="AA150" i="32"/>
  <c r="V150" i="32"/>
  <c r="AF150" i="32"/>
  <c r="Z178" i="32"/>
  <c r="AE178" i="32"/>
  <c r="U178" i="32"/>
  <c r="AG186" i="32"/>
  <c r="W186" i="32"/>
  <c r="AB186" i="32"/>
  <c r="Y199" i="32"/>
  <c r="AD199" i="32"/>
  <c r="T199" i="32"/>
  <c r="AG167" i="32"/>
  <c r="AB167" i="32"/>
  <c r="W167" i="32"/>
  <c r="AF176" i="32"/>
  <c r="V176" i="32"/>
  <c r="AA176" i="32"/>
  <c r="AA160" i="32"/>
  <c r="AF160" i="32"/>
  <c r="V160" i="32"/>
  <c r="Y187" i="32"/>
  <c r="AD187" i="32"/>
  <c r="T187" i="32"/>
  <c r="Z149" i="32"/>
  <c r="U149" i="32"/>
  <c r="AE149" i="32"/>
  <c r="AF186" i="32"/>
  <c r="V186" i="32"/>
  <c r="AA186" i="32"/>
  <c r="AD160" i="32"/>
  <c r="T160" i="32"/>
  <c r="Y160" i="32"/>
  <c r="AB170" i="32"/>
  <c r="AG170" i="32"/>
  <c r="W170" i="32"/>
  <c r="AA157" i="32"/>
  <c r="V157" i="32"/>
  <c r="AF157" i="32"/>
  <c r="AE193" i="32"/>
  <c r="U193" i="32"/>
  <c r="Z193" i="32"/>
  <c r="AF163" i="32"/>
  <c r="AA163" i="32"/>
  <c r="V163" i="32"/>
  <c r="AB154" i="32"/>
  <c r="AG154" i="32"/>
  <c r="W154" i="32"/>
  <c r="AG149" i="32"/>
  <c r="W149" i="32"/>
  <c r="AB149" i="32"/>
  <c r="AD242" i="32"/>
  <c r="T242" i="32"/>
  <c r="Y242" i="32"/>
  <c r="Y219" i="32"/>
  <c r="T219" i="32"/>
  <c r="AD219" i="32"/>
  <c r="AG192" i="32"/>
  <c r="W192" i="32"/>
  <c r="AB192" i="32"/>
  <c r="AG237" i="32"/>
  <c r="W237" i="32"/>
  <c r="AB237" i="32"/>
  <c r="Z254" i="32"/>
  <c r="AE254" i="32"/>
  <c r="U254" i="32"/>
  <c r="AG254" i="32"/>
  <c r="W254" i="32"/>
  <c r="AB254" i="32"/>
  <c r="Y194" i="32"/>
  <c r="AD194" i="32"/>
  <c r="T194" i="32"/>
  <c r="AA253" i="32"/>
  <c r="V253" i="32"/>
  <c r="AF253" i="32"/>
  <c r="V205" i="32"/>
  <c r="AF205" i="32"/>
  <c r="AA205" i="32"/>
  <c r="AB208" i="32"/>
  <c r="AG208" i="32"/>
  <c r="W208" i="32"/>
  <c r="AG231" i="32"/>
  <c r="W231" i="32"/>
  <c r="AB231" i="32"/>
  <c r="AF187" i="32"/>
  <c r="AA187" i="32"/>
  <c r="V187" i="32"/>
  <c r="AG233" i="32"/>
  <c r="W233" i="32"/>
  <c r="AB233" i="32"/>
  <c r="AG210" i="32"/>
  <c r="W210" i="32"/>
  <c r="AB210" i="32"/>
  <c r="AE227" i="32"/>
  <c r="U227" i="32"/>
  <c r="Z227" i="32"/>
  <c r="AG227" i="32"/>
  <c r="W227" i="32"/>
  <c r="AB227" i="32"/>
  <c r="AG180" i="32"/>
  <c r="W180" i="32"/>
  <c r="AB180" i="32"/>
  <c r="V209" i="32"/>
  <c r="AF209" i="32"/>
  <c r="AA209" i="32"/>
  <c r="AG235" i="32"/>
  <c r="W235" i="32"/>
  <c r="AB235" i="32"/>
  <c r="AE167" i="32"/>
  <c r="U167" i="32"/>
  <c r="Z167" i="32"/>
  <c r="AA236" i="32"/>
  <c r="AF236" i="32"/>
  <c r="V236" i="32"/>
  <c r="AE199" i="32"/>
  <c r="U199" i="32"/>
  <c r="Z199" i="32"/>
  <c r="AG251" i="32"/>
  <c r="W251" i="32"/>
  <c r="AB251" i="32"/>
  <c r="Y195" i="32"/>
  <c r="AD195" i="32"/>
  <c r="T195" i="32"/>
  <c r="Y197" i="32"/>
  <c r="AD197" i="32"/>
  <c r="T197" i="32"/>
  <c r="Z162" i="32"/>
  <c r="AE162" i="32"/>
  <c r="U162" i="32"/>
  <c r="AG155" i="32"/>
  <c r="AB155" i="32"/>
  <c r="W155" i="32"/>
  <c r="Y221" i="32"/>
  <c r="T221" i="32"/>
  <c r="AD221" i="32"/>
  <c r="AE220" i="32"/>
  <c r="U220" i="32"/>
  <c r="Z220" i="32"/>
  <c r="AE212" i="32"/>
  <c r="U212" i="32"/>
  <c r="Z212" i="32"/>
  <c r="AF227" i="32"/>
  <c r="V227" i="32"/>
  <c r="AA227" i="32"/>
  <c r="Y213" i="32"/>
  <c r="T213" i="32"/>
  <c r="AD213" i="32"/>
  <c r="AB205" i="32"/>
  <c r="AG205" i="32"/>
  <c r="W205" i="32"/>
  <c r="AB158" i="32"/>
  <c r="W158" i="32"/>
  <c r="AG158" i="32"/>
  <c r="AG220" i="32"/>
  <c r="W220" i="32"/>
  <c r="AB220" i="32"/>
  <c r="Z157" i="32"/>
  <c r="U157" i="32"/>
  <c r="AE157" i="32"/>
  <c r="AF182" i="32"/>
  <c r="V182" i="32"/>
  <c r="AA182" i="32"/>
  <c r="AA164" i="32"/>
  <c r="V164" i="32"/>
  <c r="AF183" i="32"/>
  <c r="AA183" i="32"/>
  <c r="V183" i="32"/>
  <c r="AA188" i="32"/>
  <c r="V188" i="32"/>
  <c r="AF188" i="32"/>
  <c r="Z177" i="32"/>
  <c r="AE177" i="32"/>
  <c r="U177" i="32"/>
  <c r="AD180" i="32"/>
  <c r="T180" i="32"/>
  <c r="Y180" i="32"/>
  <c r="Y188" i="32"/>
  <c r="AD188" i="32"/>
  <c r="T188" i="32"/>
  <c r="AB165" i="32"/>
  <c r="W165" i="32"/>
  <c r="AG165" i="32"/>
  <c r="AF162" i="32"/>
  <c r="AA162" i="32"/>
  <c r="V162" i="32"/>
  <c r="AE165" i="32"/>
  <c r="U165" i="32"/>
  <c r="Z165" i="32"/>
  <c r="AG177" i="32"/>
  <c r="W177" i="32"/>
  <c r="AB177" i="32"/>
  <c r="Y215" i="32"/>
  <c r="T215" i="32"/>
  <c r="AD215" i="32"/>
  <c r="AD153" i="32"/>
  <c r="T153" i="32"/>
  <c r="Y153" i="32"/>
  <c r="AD161" i="32"/>
  <c r="T161" i="32"/>
  <c r="Y161" i="32"/>
  <c r="V222" i="32"/>
  <c r="AF222" i="32"/>
  <c r="AA222" i="32"/>
  <c r="AE217" i="32"/>
  <c r="U217" i="32"/>
  <c r="Z217" i="32"/>
  <c r="AG153" i="32"/>
  <c r="AB153" i="32"/>
  <c r="W153" i="32"/>
  <c r="AE218" i="32"/>
  <c r="U218" i="32"/>
  <c r="Z218" i="32"/>
  <c r="AD245" i="32"/>
  <c r="T245" i="32"/>
  <c r="Y245" i="32"/>
  <c r="AE216" i="32"/>
  <c r="U216" i="32"/>
  <c r="Z216" i="32"/>
  <c r="Z187" i="32"/>
  <c r="U187" i="32"/>
  <c r="AE187" i="32"/>
  <c r="U155" i="32"/>
  <c r="AE155" i="32"/>
  <c r="Z155" i="32"/>
  <c r="V151" i="32"/>
  <c r="AF151" i="32"/>
  <c r="AA151" i="32"/>
  <c r="AG213" i="32"/>
  <c r="W213" i="32"/>
  <c r="AB213" i="32"/>
  <c r="W159" i="32"/>
  <c r="AG159" i="32"/>
  <c r="AB159" i="32"/>
  <c r="Z247" i="32"/>
  <c r="AE247" i="32"/>
  <c r="U247" i="32"/>
  <c r="Z239" i="32"/>
  <c r="AE239" i="32"/>
  <c r="U239" i="32"/>
  <c r="AA254" i="32"/>
  <c r="AF254" i="32"/>
  <c r="V254" i="32"/>
  <c r="AD209" i="32"/>
  <c r="T209" i="32"/>
  <c r="Y209" i="32"/>
  <c r="AG232" i="32"/>
  <c r="W232" i="32"/>
  <c r="AB232" i="32"/>
  <c r="AD154" i="32"/>
  <c r="T154" i="32"/>
  <c r="Y154" i="32"/>
  <c r="AG247" i="32"/>
  <c r="W247" i="32"/>
  <c r="AB247" i="32"/>
  <c r="U185" i="32"/>
  <c r="AE185" i="32"/>
  <c r="Z185" i="32"/>
  <c r="AA154" i="32"/>
  <c r="AF154" i="32"/>
  <c r="V154" i="32"/>
  <c r="AA149" i="32"/>
  <c r="V149" i="32"/>
  <c r="AF149" i="32"/>
  <c r="AE213" i="32"/>
  <c r="U213" i="32"/>
  <c r="Z213" i="32"/>
  <c r="AG151" i="32"/>
  <c r="W151" i="32"/>
  <c r="AB151" i="32"/>
  <c r="AA190" i="32"/>
  <c r="V190" i="32"/>
  <c r="AF190" i="32"/>
  <c r="AD205" i="32"/>
  <c r="T205" i="32"/>
  <c r="Y205" i="32"/>
  <c r="AA191" i="32"/>
  <c r="V191" i="32"/>
  <c r="AF191" i="32"/>
  <c r="AD181" i="32"/>
  <c r="T181" i="32"/>
  <c r="Y181" i="32"/>
  <c r="AA249" i="32"/>
  <c r="V249" i="32"/>
  <c r="AF249" i="32"/>
  <c r="Z244" i="32"/>
  <c r="AE244" i="32"/>
  <c r="U244" i="32"/>
  <c r="AF180" i="32"/>
  <c r="V180" i="32"/>
  <c r="AA180" i="32"/>
  <c r="Z245" i="32"/>
  <c r="U245" i="32"/>
  <c r="AE245" i="32"/>
  <c r="W152" i="32"/>
  <c r="AG152" i="32"/>
  <c r="AB152" i="32"/>
  <c r="AA250" i="32"/>
  <c r="AF250" i="32"/>
  <c r="V250" i="32"/>
  <c r="AD184" i="32"/>
  <c r="T184" i="32"/>
  <c r="Y184" i="32"/>
  <c r="AF171" i="32"/>
  <c r="AA171" i="32"/>
  <c r="V171" i="32"/>
  <c r="AG162" i="32"/>
  <c r="AB162" i="32"/>
  <c r="W162" i="32"/>
  <c r="AF178" i="32"/>
  <c r="V178" i="32"/>
  <c r="AA178" i="32"/>
  <c r="AG179" i="32"/>
  <c r="W179" i="32"/>
  <c r="AB179" i="32"/>
  <c r="AA158" i="32"/>
  <c r="V158" i="32"/>
  <c r="AF158" i="32"/>
  <c r="Y217" i="32"/>
  <c r="T217" i="32"/>
  <c r="AD217" i="32"/>
  <c r="Z253" i="32"/>
  <c r="U253" i="32"/>
  <c r="AE253" i="32"/>
  <c r="V152" i="32"/>
  <c r="AA152" i="32"/>
  <c r="AF152" i="32"/>
  <c r="AE171" i="32"/>
  <c r="U171" i="32"/>
  <c r="Z171" i="32"/>
  <c r="V170" i="32"/>
  <c r="AA170" i="32"/>
  <c r="AF170" i="32"/>
  <c r="AG211" i="32"/>
  <c r="W211" i="32"/>
  <c r="AB211" i="32"/>
  <c r="AA231" i="32"/>
  <c r="AF231" i="32"/>
  <c r="V231" i="32"/>
  <c r="Y218" i="32"/>
  <c r="T218" i="32"/>
  <c r="AD218" i="32"/>
  <c r="Z249" i="32"/>
  <c r="U249" i="32"/>
  <c r="AE249" i="32"/>
  <c r="AE152" i="32"/>
  <c r="Z152" i="32"/>
  <c r="U152" i="32"/>
  <c r="AA198" i="32"/>
  <c r="V198" i="32"/>
  <c r="AF198" i="32"/>
  <c r="AD231" i="32"/>
  <c r="T231" i="32"/>
  <c r="Y231" i="32"/>
  <c r="Z243" i="32"/>
  <c r="U243" i="32"/>
  <c r="AE243" i="32"/>
  <c r="AG188" i="32"/>
  <c r="W188" i="32"/>
  <c r="AB188" i="32"/>
  <c r="AE159" i="32"/>
  <c r="U159" i="32"/>
  <c r="Z159" i="32"/>
  <c r="Z183" i="32"/>
  <c r="AE183" i="32"/>
  <c r="U183" i="32"/>
  <c r="V218" i="32"/>
  <c r="AF218" i="32"/>
  <c r="AA218" i="32"/>
  <c r="AF179" i="32"/>
  <c r="AA179" i="32"/>
  <c r="V179" i="32"/>
  <c r="AG240" i="32"/>
  <c r="W240" i="32"/>
  <c r="AB240" i="32"/>
  <c r="AG187" i="32"/>
  <c r="W187" i="32"/>
  <c r="AB187" i="32"/>
  <c r="Z186" i="32"/>
  <c r="AE186" i="32"/>
  <c r="U186" i="32"/>
  <c r="AG178" i="32"/>
  <c r="W178" i="32"/>
  <c r="AB178" i="32"/>
  <c r="AD155" i="32"/>
  <c r="T155" i="32"/>
  <c r="Y155" i="32"/>
  <c r="AD236" i="32"/>
  <c r="T236" i="32"/>
  <c r="Y236" i="32"/>
  <c r="AD247" i="32"/>
  <c r="T247" i="32"/>
  <c r="Y247" i="32"/>
  <c r="AD182" i="32"/>
  <c r="T182" i="32"/>
  <c r="Y182" i="32"/>
  <c r="AG222" i="32"/>
  <c r="W222" i="32"/>
  <c r="AB222" i="32"/>
  <c r="AE148" i="32"/>
  <c r="Z148" i="32"/>
  <c r="U148" i="32"/>
  <c r="W166" i="32"/>
  <c r="AG166" i="32"/>
  <c r="AB166" i="32"/>
  <c r="AF177" i="32"/>
  <c r="AA177" i="32"/>
  <c r="V177" i="32"/>
  <c r="Z240" i="32"/>
  <c r="AE240" i="32"/>
  <c r="U240" i="32"/>
  <c r="AD250" i="32"/>
  <c r="T250" i="32"/>
  <c r="Y250" i="32"/>
  <c r="Y196" i="32"/>
  <c r="AD196" i="32"/>
  <c r="T196" i="32"/>
  <c r="AG193" i="32"/>
  <c r="W193" i="32"/>
  <c r="AB193" i="32"/>
  <c r="V185" i="32"/>
  <c r="AF185" i="32"/>
  <c r="AA185" i="32"/>
  <c r="AD232" i="32"/>
  <c r="T232" i="32"/>
  <c r="Y232" i="32"/>
  <c r="AG182" i="32"/>
  <c r="W182" i="32"/>
  <c r="AB182" i="32"/>
  <c r="AE214" i="32"/>
  <c r="U214" i="32"/>
  <c r="Z214" i="32"/>
  <c r="V156" i="32"/>
  <c r="AA156" i="32"/>
  <c r="AF156" i="32"/>
  <c r="AD162" i="32"/>
  <c r="T162" i="32"/>
  <c r="Y162" i="32"/>
  <c r="AE154" i="32"/>
  <c r="Z154" i="32"/>
  <c r="U154" i="32"/>
  <c r="AD151" i="32"/>
  <c r="T151" i="32"/>
  <c r="Y151" i="32"/>
  <c r="AD148" i="32"/>
  <c r="T148" i="32"/>
  <c r="Y148" i="32"/>
  <c r="W148" i="32"/>
  <c r="AG148" i="32"/>
  <c r="AB148" i="32"/>
  <c r="AB163" i="32"/>
  <c r="W163" i="32"/>
  <c r="AG163" i="32"/>
  <c r="AF224" i="32"/>
  <c r="AA224" i="32"/>
  <c r="V224" i="32"/>
  <c r="Z161" i="32"/>
  <c r="AE161" i="32"/>
  <c r="U161" i="32"/>
  <c r="AE188" i="32"/>
  <c r="U188" i="32"/>
  <c r="Z188" i="32"/>
  <c r="W161" i="32"/>
  <c r="AB161" i="32"/>
  <c r="AG161" i="32"/>
  <c r="Z180" i="32"/>
  <c r="AE180" i="32"/>
  <c r="U180" i="32"/>
  <c r="AA199" i="32"/>
  <c r="V199" i="32"/>
  <c r="AF199" i="32"/>
  <c r="AA189" i="32"/>
  <c r="V189" i="32"/>
  <c r="AF189" i="32"/>
  <c r="AE150" i="32"/>
  <c r="U150" i="32"/>
  <c r="Z150" i="32"/>
  <c r="Y171" i="32"/>
  <c r="T171" i="32"/>
  <c r="AD171" i="32"/>
  <c r="AD159" i="32"/>
  <c r="T159" i="32"/>
  <c r="Y159" i="32"/>
  <c r="AG185" i="32"/>
  <c r="W185" i="32"/>
  <c r="AB185" i="32"/>
  <c r="AE166" i="32"/>
  <c r="U166" i="32"/>
  <c r="Z166" i="32"/>
  <c r="AF181" i="32"/>
  <c r="AA181" i="32"/>
  <c r="V181" i="32"/>
  <c r="AD246" i="32"/>
  <c r="T246" i="32"/>
  <c r="Y246" i="32"/>
  <c r="V204" i="32"/>
  <c r="AF204" i="32"/>
  <c r="AA204" i="32"/>
  <c r="AE222" i="32"/>
  <c r="U222" i="32"/>
  <c r="Z222" i="32"/>
  <c r="AG238" i="32"/>
  <c r="W238" i="32"/>
  <c r="AB238" i="32"/>
  <c r="V226" i="32"/>
  <c r="AF226" i="32"/>
  <c r="AA226" i="32"/>
  <c r="AE160" i="32"/>
  <c r="U160" i="32"/>
  <c r="Z160" i="32"/>
  <c r="AD204" i="32"/>
  <c r="T204" i="32"/>
  <c r="Y204" i="32"/>
  <c r="AA223" i="32"/>
  <c r="V223" i="32"/>
  <c r="AF223" i="32"/>
  <c r="AD156" i="32"/>
  <c r="T156" i="32"/>
  <c r="Y156" i="32"/>
  <c r="AG199" i="32"/>
  <c r="W199" i="32"/>
  <c r="AB199" i="32"/>
  <c r="AG184" i="32"/>
  <c r="W184" i="32"/>
  <c r="AB184" i="32"/>
  <c r="AA245" i="32"/>
  <c r="V245" i="32"/>
  <c r="AF245" i="32"/>
  <c r="AD239" i="32"/>
  <c r="T239" i="32"/>
  <c r="Y239" i="32"/>
  <c r="Y170" i="32"/>
  <c r="T170" i="32"/>
  <c r="AD170" i="32"/>
  <c r="AE158" i="32"/>
  <c r="U158" i="32"/>
  <c r="Z158" i="32"/>
  <c r="AD183" i="32"/>
  <c r="T183" i="32"/>
  <c r="Y183" i="32"/>
  <c r="Y220" i="32"/>
  <c r="AD220" i="32"/>
  <c r="T220" i="32"/>
  <c r="AG197" i="32"/>
  <c r="W197" i="32"/>
  <c r="AB197" i="32"/>
  <c r="AG249" i="32"/>
  <c r="W249" i="32"/>
  <c r="AB249" i="32"/>
  <c r="Z176" i="32"/>
  <c r="AE176" i="32"/>
  <c r="U176" i="32"/>
  <c r="AA192" i="32"/>
  <c r="V192" i="32"/>
  <c r="AF192" i="32"/>
  <c r="Y223" i="32"/>
  <c r="T223" i="32"/>
  <c r="AD223" i="32"/>
  <c r="AD152" i="32"/>
  <c r="T152" i="32"/>
  <c r="Y152" i="32"/>
  <c r="AG157" i="32"/>
  <c r="AB157" i="32"/>
  <c r="W157" i="32"/>
  <c r="AG221" i="32"/>
  <c r="W221" i="32"/>
  <c r="AB221" i="32"/>
  <c r="Z241" i="32"/>
  <c r="U241" i="32"/>
  <c r="AE241" i="32"/>
  <c r="AE196" i="32"/>
  <c r="U196" i="32"/>
  <c r="Z196" i="32"/>
  <c r="AG216" i="32"/>
  <c r="W216" i="32"/>
  <c r="AB216" i="32"/>
  <c r="AA184" i="32"/>
  <c r="V184" i="32"/>
  <c r="AF184" i="32"/>
  <c r="Y189" i="32"/>
  <c r="AD189" i="32"/>
  <c r="T189" i="32"/>
  <c r="Z182" i="32"/>
  <c r="AE182" i="32"/>
  <c r="U182" i="32"/>
  <c r="AF167" i="32"/>
  <c r="AA167" i="32"/>
  <c r="V167" i="32"/>
  <c r="AD179" i="32"/>
  <c r="T179" i="32"/>
  <c r="Y179" i="32"/>
  <c r="AG181" i="32"/>
  <c r="W181" i="32"/>
  <c r="AB181" i="32"/>
  <c r="AD176" i="32"/>
  <c r="T176" i="32"/>
  <c r="Y176" i="32"/>
  <c r="AE197" i="32"/>
  <c r="U197" i="32"/>
  <c r="Z197" i="32"/>
  <c r="AA251" i="32"/>
  <c r="AF251" i="32"/>
  <c r="V251" i="32"/>
  <c r="AE189" i="32"/>
  <c r="U189" i="32"/>
  <c r="Z189" i="32"/>
  <c r="F79" i="31"/>
  <c r="O151" i="31"/>
  <c r="O147" i="31"/>
  <c r="L145" i="31"/>
  <c r="O157" i="31"/>
  <c r="O149" i="31"/>
  <c r="R151" i="31"/>
  <c r="R147" i="31"/>
  <c r="R155" i="31"/>
  <c r="Q147" i="31"/>
  <c r="Q155" i="31"/>
  <c r="P157" i="31"/>
  <c r="I94" i="31"/>
  <c r="I115" i="31"/>
  <c r="I117" i="31" s="1"/>
  <c r="Q151" i="31"/>
  <c r="J98" i="31"/>
  <c r="O146" i="31"/>
  <c r="O154" i="31" s="1"/>
  <c r="I91" i="31"/>
  <c r="I89" i="31"/>
  <c r="L98" i="31"/>
  <c r="I90" i="31"/>
  <c r="R149" i="31"/>
  <c r="R157" i="31"/>
  <c r="P144" i="31"/>
  <c r="P152" i="31" s="1"/>
  <c r="P153" i="31"/>
  <c r="R144" i="31"/>
  <c r="R156" i="31" s="1"/>
  <c r="Q146" i="31"/>
  <c r="Q150" i="31" s="1"/>
  <c r="Q152" i="31"/>
  <c r="P143" i="31"/>
  <c r="P147" i="31" s="1"/>
  <c r="K98" i="31"/>
  <c r="K117" i="31"/>
  <c r="O153" i="31"/>
  <c r="L117" i="31"/>
  <c r="R153" i="31"/>
  <c r="L129" i="31"/>
  <c r="Q145" i="31"/>
  <c r="Q153" i="31" s="1"/>
  <c r="O144" i="31"/>
  <c r="P146" i="31"/>
  <c r="P150" i="31" s="1"/>
  <c r="R146" i="31"/>
  <c r="L114" i="30"/>
  <c r="L109" i="30"/>
  <c r="L115" i="30"/>
  <c r="L111" i="30"/>
  <c r="L89" i="30"/>
  <c r="L95" i="30"/>
  <c r="L90" i="30"/>
  <c r="L98" i="30" s="1"/>
  <c r="L97" i="30"/>
  <c r="L108" i="30"/>
  <c r="L91" i="30"/>
  <c r="L113" i="30"/>
  <c r="R145" i="30"/>
  <c r="R157" i="30" s="1"/>
  <c r="Q145" i="30"/>
  <c r="Q157" i="30" s="1"/>
  <c r="Q144" i="30"/>
  <c r="Q156" i="30" s="1"/>
  <c r="O145" i="30"/>
  <c r="O153" i="30" s="1"/>
  <c r="P146" i="30"/>
  <c r="P158" i="30" s="1"/>
  <c r="Q143" i="30"/>
  <c r="Q155" i="30" s="1"/>
  <c r="R144" i="30"/>
  <c r="R156" i="30" s="1"/>
  <c r="R111" i="30"/>
  <c r="G62" i="30" s="1"/>
  <c r="D79" i="30"/>
  <c r="O114" i="30"/>
  <c r="D65" i="30" s="1"/>
  <c r="A70" i="30" s="1"/>
  <c r="P144" i="30"/>
  <c r="P156" i="30" s="1"/>
  <c r="P53" i="30"/>
  <c r="P60" i="30" s="1"/>
  <c r="E60" i="30"/>
  <c r="O120" i="30"/>
  <c r="P112" i="30"/>
  <c r="E63" i="30" s="1"/>
  <c r="K97" i="30"/>
  <c r="K95" i="30"/>
  <c r="K116" i="30"/>
  <c r="K111" i="30"/>
  <c r="K109" i="30"/>
  <c r="K96" i="30"/>
  <c r="K94" i="30"/>
  <c r="K91" i="30"/>
  <c r="K90" i="30"/>
  <c r="K89" i="30"/>
  <c r="K88" i="30"/>
  <c r="K115" i="30"/>
  <c r="K114" i="30"/>
  <c r="K113" i="30"/>
  <c r="K110" i="30"/>
  <c r="K108" i="30"/>
  <c r="J98" i="30"/>
  <c r="O143" i="30"/>
  <c r="O155" i="30" s="1"/>
  <c r="P113" i="30"/>
  <c r="E64" i="30" s="1"/>
  <c r="Q112" i="30"/>
  <c r="F63" i="30" s="1"/>
  <c r="L130" i="30"/>
  <c r="Q53" i="30"/>
  <c r="Q60" i="30" s="1"/>
  <c r="F60" i="30"/>
  <c r="R112" i="30"/>
  <c r="G63" i="30" s="1"/>
  <c r="Q113" i="30"/>
  <c r="F64" i="30" s="1"/>
  <c r="R114" i="30"/>
  <c r="G65" i="30" s="1"/>
  <c r="G79" i="30"/>
  <c r="P143" i="30"/>
  <c r="P155" i="30" s="1"/>
  <c r="P114" i="30"/>
  <c r="E65" i="30" s="1"/>
  <c r="E79" i="30"/>
  <c r="L129" i="30"/>
  <c r="R113" i="30"/>
  <c r="G64" i="30" s="1"/>
  <c r="O111" i="30"/>
  <c r="D62" i="30" s="1"/>
  <c r="D81" i="30"/>
  <c r="Q114" i="30"/>
  <c r="F65" i="30" s="1"/>
  <c r="F79" i="30"/>
  <c r="L128" i="30"/>
  <c r="Q120" i="30"/>
  <c r="L131" i="30"/>
  <c r="R120" i="30"/>
  <c r="O112" i="30"/>
  <c r="D63" i="30" s="1"/>
  <c r="O118" i="30"/>
  <c r="L119" i="30" s="1"/>
  <c r="P111" i="30"/>
  <c r="E62" i="30" s="1"/>
  <c r="E81" i="30"/>
  <c r="I98" i="30"/>
  <c r="O53" i="30"/>
  <c r="O60" i="30" s="1"/>
  <c r="D60" i="30"/>
  <c r="R117" i="30"/>
  <c r="O113" i="30"/>
  <c r="D64" i="30" s="1"/>
  <c r="P145" i="30"/>
  <c r="P157" i="30" s="1"/>
  <c r="F81" i="30"/>
  <c r="Q111" i="30"/>
  <c r="F62" i="30" s="1"/>
  <c r="AD148" i="15"/>
  <c r="T148" i="15"/>
  <c r="Y148" i="15"/>
  <c r="Y176" i="15"/>
  <c r="AD176" i="15"/>
  <c r="AA212" i="15"/>
  <c r="AF212" i="15"/>
  <c r="V212" i="15"/>
  <c r="AE212" i="15"/>
  <c r="U212" i="15"/>
  <c r="Z212" i="15"/>
  <c r="W212" i="15"/>
  <c r="AB212" i="15"/>
  <c r="AG212" i="15"/>
  <c r="AD212" i="15"/>
  <c r="Y212" i="15"/>
  <c r="T212" i="15"/>
  <c r="V188" i="15"/>
  <c r="V196" i="15"/>
  <c r="AF196" i="15"/>
  <c r="AF188" i="15"/>
  <c r="AA192" i="15"/>
  <c r="Z184" i="15"/>
  <c r="U184" i="15"/>
  <c r="V176" i="15"/>
  <c r="AF180" i="15"/>
  <c r="V180" i="15"/>
  <c r="V192" i="15"/>
  <c r="AB196" i="15"/>
  <c r="AG196" i="15"/>
  <c r="AG184" i="15"/>
  <c r="AB184" i="15"/>
  <c r="W184" i="15"/>
  <c r="AG176" i="15"/>
  <c r="W176" i="15"/>
  <c r="AB176" i="15"/>
  <c r="AA176" i="15"/>
  <c r="AE176" i="15"/>
  <c r="Z176" i="15"/>
  <c r="U176" i="15"/>
  <c r="Z196" i="15"/>
  <c r="U196" i="15"/>
  <c r="AE196" i="15"/>
  <c r="AE192" i="15"/>
  <c r="Z192" i="15"/>
  <c r="U192" i="15"/>
  <c r="AG192" i="15"/>
  <c r="AB192" i="15"/>
  <c r="W192" i="15"/>
  <c r="Z188" i="15"/>
  <c r="U188" i="15"/>
  <c r="AE188" i="15"/>
  <c r="AB188" i="15"/>
  <c r="W188" i="15"/>
  <c r="AG188" i="15"/>
  <c r="AF184" i="15"/>
  <c r="AA184" i="15"/>
  <c r="V184" i="15"/>
  <c r="AB180" i="15"/>
  <c r="W180" i="15"/>
  <c r="AG180" i="15"/>
  <c r="Z180" i="15"/>
  <c r="U180" i="15"/>
  <c r="AE180" i="15"/>
  <c r="U164" i="15"/>
  <c r="Z164" i="15"/>
  <c r="O160" i="31" l="1"/>
  <c r="Q160" i="31"/>
  <c r="R160" i="31"/>
  <c r="O158" i="31"/>
  <c r="O163" i="31" s="1"/>
  <c r="L146" i="31"/>
  <c r="O150" i="31"/>
  <c r="L117" i="30"/>
  <c r="K117" i="30"/>
  <c r="K98" i="30"/>
  <c r="Q161" i="31"/>
  <c r="O162" i="31"/>
  <c r="P162" i="31"/>
  <c r="R148" i="31"/>
  <c r="I98" i="31"/>
  <c r="R152" i="31"/>
  <c r="L144" i="31"/>
  <c r="O148" i="31"/>
  <c r="O156" i="31"/>
  <c r="Q149" i="31"/>
  <c r="Q157" i="31"/>
  <c r="Q154" i="31"/>
  <c r="Q158" i="31"/>
  <c r="R154" i="31"/>
  <c r="R158" i="31"/>
  <c r="O152" i="31"/>
  <c r="P148" i="31"/>
  <c r="P156" i="31"/>
  <c r="R150" i="31"/>
  <c r="P154" i="31"/>
  <c r="P158" i="31"/>
  <c r="P151" i="31"/>
  <c r="P155" i="31"/>
  <c r="R162" i="31"/>
  <c r="A71" i="30"/>
  <c r="O149" i="30"/>
  <c r="Q152" i="30"/>
  <c r="Q148" i="30"/>
  <c r="P152" i="30"/>
  <c r="Q149" i="30"/>
  <c r="O144" i="30"/>
  <c r="P150" i="30"/>
  <c r="R152" i="30"/>
  <c r="R143" i="30"/>
  <c r="R147" i="30" s="1"/>
  <c r="O151" i="30"/>
  <c r="O146" i="30"/>
  <c r="L145" i="30"/>
  <c r="O157" i="30"/>
  <c r="Q151" i="30"/>
  <c r="Q146" i="30"/>
  <c r="Q150" i="30" s="1"/>
  <c r="P151" i="30"/>
  <c r="O147" i="30"/>
  <c r="R148" i="30"/>
  <c r="P154" i="30"/>
  <c r="R146" i="30"/>
  <c r="Q153" i="30"/>
  <c r="P153" i="30"/>
  <c r="P149" i="30"/>
  <c r="P147" i="30"/>
  <c r="R153" i="30"/>
  <c r="P148" i="30"/>
  <c r="Q147" i="30"/>
  <c r="R149" i="30"/>
  <c r="Q66" i="13"/>
  <c r="R66" i="13" s="1"/>
  <c r="Q67" i="13"/>
  <c r="R67" i="13" s="1"/>
  <c r="Q69" i="13"/>
  <c r="P69" i="13" s="1"/>
  <c r="Q68" i="13"/>
  <c r="R68" i="13" s="1"/>
  <c r="U68" i="13"/>
  <c r="S68" i="13"/>
  <c r="T67" i="13"/>
  <c r="S67" i="13" s="1"/>
  <c r="R69" i="13"/>
  <c r="R161" i="31" l="1"/>
  <c r="Q161" i="30"/>
  <c r="O162" i="30"/>
  <c r="U67" i="13"/>
  <c r="P160" i="30"/>
  <c r="Q160" i="30"/>
  <c r="P163" i="31"/>
  <c r="P160" i="31"/>
  <c r="Q162" i="31"/>
  <c r="Q163" i="31"/>
  <c r="O161" i="31"/>
  <c r="P161" i="31"/>
  <c r="R163" i="31"/>
  <c r="P161" i="30"/>
  <c r="R161" i="30"/>
  <c r="R158" i="30"/>
  <c r="R154" i="30"/>
  <c r="P163" i="30"/>
  <c r="P162" i="30"/>
  <c r="L146" i="30"/>
  <c r="O158" i="30"/>
  <c r="O154" i="30"/>
  <c r="L144" i="30"/>
  <c r="O156" i="30"/>
  <c r="O152" i="30"/>
  <c r="Q158" i="30"/>
  <c r="Q154" i="30"/>
  <c r="R155" i="30"/>
  <c r="R151" i="30"/>
  <c r="O160" i="30"/>
  <c r="O150" i="30"/>
  <c r="O148" i="30"/>
  <c r="R150" i="30"/>
  <c r="R163" i="30" s="1"/>
  <c r="R162" i="30"/>
  <c r="Q162" i="30"/>
  <c r="R160" i="30" l="1"/>
  <c r="Q163" i="30"/>
  <c r="O161" i="30"/>
  <c r="O163" i="30"/>
  <c r="N178" i="13" l="1"/>
  <c r="N177" i="13"/>
  <c r="N176" i="13"/>
  <c r="N173" i="13"/>
  <c r="N172" i="13"/>
  <c r="N171" i="13"/>
  <c r="K176" i="13"/>
  <c r="O176" i="13" s="1"/>
  <c r="L161" i="13"/>
  <c r="L162" i="13"/>
  <c r="L163" i="13"/>
  <c r="L164" i="13"/>
  <c r="L165" i="13"/>
  <c r="L166" i="13"/>
  <c r="L160" i="13"/>
  <c r="L168" i="13" s="1"/>
  <c r="Q41" i="1"/>
  <c r="Q42" i="1"/>
  <c r="Q43" i="1"/>
  <c r="Q44" i="1"/>
  <c r="Q45" i="1"/>
  <c r="Q46" i="1"/>
  <c r="Q40" i="1"/>
  <c r="J168" i="13"/>
  <c r="J30" i="13"/>
  <c r="K30" i="13"/>
  <c r="L30" i="13"/>
  <c r="J32" i="13"/>
  <c r="K32" i="13"/>
  <c r="L32" i="13"/>
  <c r="J33" i="13"/>
  <c r="K33" i="13"/>
  <c r="L33" i="13"/>
  <c r="J34" i="13"/>
  <c r="K34" i="13"/>
  <c r="L34" i="13"/>
  <c r="J35" i="13"/>
  <c r="K35" i="13"/>
  <c r="L35" i="13"/>
  <c r="J36" i="13"/>
  <c r="K36" i="13"/>
  <c r="L36" i="13"/>
  <c r="J37" i="13"/>
  <c r="K37" i="13"/>
  <c r="L37" i="13"/>
  <c r="J38" i="13"/>
  <c r="K38" i="13"/>
  <c r="L38" i="13"/>
  <c r="J39" i="13"/>
  <c r="K39" i="13"/>
  <c r="L39" i="13"/>
  <c r="J40" i="13"/>
  <c r="K40" i="13"/>
  <c r="L40" i="13"/>
  <c r="J41" i="13"/>
  <c r="K41" i="13"/>
  <c r="L41" i="13"/>
  <c r="J42" i="13"/>
  <c r="K42" i="13"/>
  <c r="L42" i="13"/>
  <c r="J43" i="13"/>
  <c r="K43" i="13"/>
  <c r="L43" i="13"/>
  <c r="J44" i="13"/>
  <c r="K44" i="13"/>
  <c r="L44" i="13"/>
  <c r="J45" i="13"/>
  <c r="K45" i="13"/>
  <c r="L45" i="13"/>
  <c r="I32" i="13"/>
  <c r="I33" i="13"/>
  <c r="I34" i="13"/>
  <c r="I35" i="13"/>
  <c r="I36" i="13"/>
  <c r="I37" i="13"/>
  <c r="I38" i="13"/>
  <c r="I39" i="13"/>
  <c r="I40" i="13"/>
  <c r="I41" i="13"/>
  <c r="I42" i="13"/>
  <c r="I43" i="13"/>
  <c r="I44" i="13"/>
  <c r="I45" i="13"/>
  <c r="I30" i="13"/>
  <c r="J23" i="13"/>
  <c r="K23" i="13"/>
  <c r="L23" i="13"/>
  <c r="J24" i="13"/>
  <c r="K24" i="13"/>
  <c r="L24" i="13"/>
  <c r="J25" i="13"/>
  <c r="K25" i="13"/>
  <c r="L25" i="13"/>
  <c r="J27" i="13"/>
  <c r="K27" i="13"/>
  <c r="L27" i="13"/>
  <c r="I24" i="13"/>
  <c r="I25" i="13"/>
  <c r="I27" i="13"/>
  <c r="I23" i="13"/>
  <c r="K67" i="13"/>
  <c r="K66" i="13"/>
  <c r="K65" i="13"/>
  <c r="K64" i="13"/>
  <c r="K63" i="13"/>
  <c r="K62" i="13"/>
  <c r="O177" i="13" l="1"/>
  <c r="O178" i="13"/>
  <c r="L173" i="13"/>
  <c r="O173" i="13" s="1"/>
  <c r="L172" i="13"/>
  <c r="O172" i="13" s="1"/>
  <c r="L171" i="13"/>
  <c r="O171" i="13" s="1"/>
  <c r="K69" i="13"/>
  <c r="AY49" i="13" l="1"/>
  <c r="AV49" i="13"/>
  <c r="AY48" i="13"/>
  <c r="AV48" i="13"/>
  <c r="AV47" i="13"/>
  <c r="BB55" i="13"/>
  <c r="BB54" i="13"/>
  <c r="AT57" i="13"/>
  <c r="V104" i="13"/>
  <c r="V103" i="13"/>
  <c r="U84" i="13"/>
  <c r="M29" i="15" l="1"/>
  <c r="N29" i="15"/>
  <c r="O29" i="15"/>
  <c r="L29" i="15"/>
  <c r="P30" i="13" l="1"/>
  <c r="Q30" i="13"/>
  <c r="R30" i="13"/>
  <c r="P32" i="13"/>
  <c r="Q32" i="13"/>
  <c r="R32" i="13"/>
  <c r="P33" i="13"/>
  <c r="Q33" i="13"/>
  <c r="R33" i="13"/>
  <c r="P34" i="13"/>
  <c r="Q34" i="13"/>
  <c r="R34" i="13"/>
  <c r="P35" i="13"/>
  <c r="Q35" i="13"/>
  <c r="R35" i="13"/>
  <c r="P36" i="13"/>
  <c r="Q36" i="13"/>
  <c r="R36" i="13"/>
  <c r="P37" i="13"/>
  <c r="Q37" i="13"/>
  <c r="R37" i="13"/>
  <c r="P38" i="13"/>
  <c r="Q38" i="13"/>
  <c r="R38" i="13"/>
  <c r="P39" i="13"/>
  <c r="Q39" i="13"/>
  <c r="R39" i="13"/>
  <c r="P40" i="13"/>
  <c r="Q40" i="13"/>
  <c r="R40" i="13"/>
  <c r="P41" i="13"/>
  <c r="Q41" i="13"/>
  <c r="R41" i="13"/>
  <c r="P42" i="13"/>
  <c r="Q42" i="13"/>
  <c r="R42" i="13"/>
  <c r="P43" i="13"/>
  <c r="Q43" i="13"/>
  <c r="R43" i="13"/>
  <c r="P44" i="13"/>
  <c r="Q44" i="13"/>
  <c r="R44" i="13"/>
  <c r="P45" i="13"/>
  <c r="Q45" i="13"/>
  <c r="R45" i="13"/>
  <c r="O32" i="13"/>
  <c r="O33" i="13"/>
  <c r="O34" i="13"/>
  <c r="O35" i="13"/>
  <c r="O36" i="13"/>
  <c r="O37" i="13"/>
  <c r="O38" i="13"/>
  <c r="O39" i="13"/>
  <c r="O40" i="13"/>
  <c r="O41" i="13"/>
  <c r="O42" i="13"/>
  <c r="O43" i="13"/>
  <c r="O44" i="13"/>
  <c r="O45" i="13"/>
  <c r="O30" i="13"/>
  <c r="P23" i="13"/>
  <c r="Q23" i="13"/>
  <c r="R23" i="13"/>
  <c r="P24" i="13"/>
  <c r="Q24" i="13"/>
  <c r="R24" i="13"/>
  <c r="P25" i="13"/>
  <c r="Q25" i="13"/>
  <c r="R25" i="13"/>
  <c r="R26" i="13"/>
  <c r="P27" i="13"/>
  <c r="Q27" i="13"/>
  <c r="R27" i="13"/>
  <c r="O24" i="13"/>
  <c r="O25" i="13"/>
  <c r="O27" i="13"/>
  <c r="O23" i="13"/>
  <c r="P20" i="13"/>
  <c r="Q20" i="13"/>
  <c r="R20" i="13"/>
  <c r="O20" i="13"/>
  <c r="G26" i="13"/>
  <c r="L26" i="13" s="1"/>
  <c r="F26" i="13"/>
  <c r="K26" i="13" s="1"/>
  <c r="E26" i="13"/>
  <c r="J26" i="13" s="1"/>
  <c r="D26" i="13"/>
  <c r="I26" i="13" s="1"/>
  <c r="D22" i="1"/>
  <c r="E22" i="1"/>
  <c r="F22" i="1"/>
  <c r="G22" i="1"/>
  <c r="H22" i="1"/>
  <c r="I22" i="1"/>
  <c r="C22" i="1"/>
  <c r="B20" i="1"/>
  <c r="B21" i="1"/>
  <c r="B22" i="1" s="1"/>
  <c r="J22" i="17"/>
  <c r="J23" i="17"/>
  <c r="J24" i="17"/>
  <c r="J25" i="17"/>
  <c r="J26" i="17"/>
  <c r="J27" i="17"/>
  <c r="J21" i="17"/>
  <c r="I22" i="17"/>
  <c r="I23" i="17"/>
  <c r="I24" i="17"/>
  <c r="I25" i="17"/>
  <c r="I26" i="17"/>
  <c r="I27" i="17"/>
  <c r="I21" i="17"/>
  <c r="E32" i="17"/>
  <c r="S59" i="9"/>
  <c r="S57" i="9"/>
  <c r="S55" i="9"/>
  <c r="S54" i="9"/>
  <c r="R54" i="9"/>
  <c r="R55" i="9"/>
  <c r="R56" i="9"/>
  <c r="R57" i="9"/>
  <c r="R58" i="9"/>
  <c r="R59" i="9"/>
  <c r="R53" i="9"/>
  <c r="L30" i="17"/>
  <c r="L29" i="17"/>
  <c r="L32" i="17"/>
  <c r="L31" i="17"/>
  <c r="F52" i="17"/>
  <c r="F55" i="17" s="1"/>
  <c r="E52" i="17"/>
  <c r="E55" i="17" s="1"/>
  <c r="D52" i="17"/>
  <c r="D55" i="17" s="1"/>
  <c r="C52" i="17"/>
  <c r="C55" i="17" s="1"/>
  <c r="E30" i="17"/>
  <c r="D30" i="17"/>
  <c r="C30" i="17"/>
  <c r="B30" i="17"/>
  <c r="E29" i="17"/>
  <c r="D29" i="17"/>
  <c r="C29" i="17"/>
  <c r="B29" i="17"/>
  <c r="G27" i="17"/>
  <c r="B44" i="17" s="1"/>
  <c r="G26" i="17"/>
  <c r="B43" i="17" s="1"/>
  <c r="G25" i="17"/>
  <c r="B42" i="17" s="1"/>
  <c r="G24" i="17"/>
  <c r="B41" i="17" s="1"/>
  <c r="G23" i="17"/>
  <c r="B40" i="17" s="1"/>
  <c r="G22" i="17"/>
  <c r="B39" i="17" s="1"/>
  <c r="G21" i="17"/>
  <c r="B38" i="17" s="1"/>
  <c r="B55" i="17" l="1"/>
  <c r="Q122" i="13"/>
  <c r="Q123" i="13"/>
  <c r="Q124" i="13"/>
  <c r="Q121" i="13"/>
  <c r="P121" i="13"/>
  <c r="P123" i="13"/>
  <c r="P124" i="13"/>
  <c r="P122" i="13"/>
  <c r="O81" i="13"/>
  <c r="O82" i="13"/>
  <c r="O80" i="13"/>
  <c r="O83" i="13"/>
  <c r="R130" i="13"/>
  <c r="Q26" i="13"/>
  <c r="R81" i="13"/>
  <c r="R82" i="13"/>
  <c r="R128" i="13"/>
  <c r="R80" i="13"/>
  <c r="R83" i="13"/>
  <c r="O26" i="13"/>
  <c r="P26" i="13"/>
  <c r="Q82" i="13"/>
  <c r="Q80" i="13"/>
  <c r="Q81" i="13"/>
  <c r="Q83" i="13"/>
  <c r="R124" i="13"/>
  <c r="R121" i="13"/>
  <c r="R123" i="13"/>
  <c r="R122" i="13"/>
  <c r="O124" i="13"/>
  <c r="O121" i="13"/>
  <c r="O123" i="13"/>
  <c r="O122" i="13"/>
  <c r="P81" i="13"/>
  <c r="P82" i="13"/>
  <c r="P80" i="13"/>
  <c r="P83" i="13"/>
  <c r="G29" i="17"/>
  <c r="B46" i="17"/>
  <c r="B47" i="17" s="1"/>
  <c r="R131" i="13" l="1"/>
  <c r="Q131" i="13"/>
  <c r="R129" i="13"/>
  <c r="Q130" i="13"/>
  <c r="Q128" i="13"/>
  <c r="P129" i="13"/>
  <c r="P130" i="13"/>
  <c r="P131" i="13"/>
  <c r="P128" i="13"/>
  <c r="O130" i="13"/>
  <c r="O131" i="13"/>
  <c r="O128" i="13"/>
  <c r="O129" i="13"/>
  <c r="Q129" i="13"/>
  <c r="E2" i="13"/>
  <c r="E5" i="13" s="1"/>
  <c r="E6" i="13" s="1"/>
  <c r="F2" i="13"/>
  <c r="F5" i="13" s="1"/>
  <c r="F6" i="13" s="1"/>
  <c r="G2" i="13"/>
  <c r="G5" i="13" s="1"/>
  <c r="G6" i="13" s="1"/>
  <c r="D2" i="13"/>
  <c r="E4" i="13"/>
  <c r="F4" i="13"/>
  <c r="G4" i="13"/>
  <c r="D4" i="13"/>
  <c r="D5" i="13" s="1"/>
  <c r="D6" i="13" s="1"/>
  <c r="K135" i="13" l="1"/>
  <c r="K131" i="13"/>
  <c r="K129" i="13"/>
  <c r="K130" i="13"/>
  <c r="K128" i="13"/>
  <c r="K126" i="13"/>
  <c r="K122" i="13"/>
  <c r="L126" i="13"/>
  <c r="K129" i="15"/>
  <c r="P129" i="15" s="1"/>
  <c r="P197" i="15" s="1"/>
  <c r="L129" i="15"/>
  <c r="Q129" i="15" s="1"/>
  <c r="Q197" i="15" s="1"/>
  <c r="M129" i="15"/>
  <c r="R129" i="15" s="1"/>
  <c r="R197" i="15" s="1"/>
  <c r="K130" i="15"/>
  <c r="P130" i="15" s="1"/>
  <c r="P198" i="15" s="1"/>
  <c r="L130" i="15"/>
  <c r="Q130" i="15" s="1"/>
  <c r="Q198" i="15" s="1"/>
  <c r="M130" i="15"/>
  <c r="R130" i="15" s="1"/>
  <c r="R198" i="15" s="1"/>
  <c r="K131" i="15"/>
  <c r="P131" i="15" s="1"/>
  <c r="P199" i="15" s="1"/>
  <c r="L131" i="15"/>
  <c r="Q131" i="15" s="1"/>
  <c r="Q199" i="15" s="1"/>
  <c r="M131" i="15"/>
  <c r="R131" i="15" s="1"/>
  <c r="R199" i="15" s="1"/>
  <c r="J130" i="15"/>
  <c r="O130" i="15" s="1"/>
  <c r="O198" i="15" s="1"/>
  <c r="J131" i="15"/>
  <c r="O131" i="15" s="1"/>
  <c r="O199" i="15" s="1"/>
  <c r="J129" i="15"/>
  <c r="O129" i="15" s="1"/>
  <c r="K125" i="15"/>
  <c r="P125" i="15" s="1"/>
  <c r="P193" i="15" s="1"/>
  <c r="L125" i="15"/>
  <c r="Q125" i="15" s="1"/>
  <c r="Q193" i="15" s="1"/>
  <c r="M125" i="15"/>
  <c r="R125" i="15" s="1"/>
  <c r="R193" i="15" s="1"/>
  <c r="K126" i="15"/>
  <c r="P126" i="15" s="1"/>
  <c r="P194" i="15" s="1"/>
  <c r="L126" i="15"/>
  <c r="Q126" i="15" s="1"/>
  <c r="Q194" i="15" s="1"/>
  <c r="M126" i="15"/>
  <c r="R126" i="15" s="1"/>
  <c r="R194" i="15" s="1"/>
  <c r="K127" i="15"/>
  <c r="P127" i="15" s="1"/>
  <c r="P195" i="15" s="1"/>
  <c r="L127" i="15"/>
  <c r="Q127" i="15" s="1"/>
  <c r="Q195" i="15" s="1"/>
  <c r="M127" i="15"/>
  <c r="R127" i="15" s="1"/>
  <c r="R195" i="15" s="1"/>
  <c r="J126" i="15"/>
  <c r="O126" i="15" s="1"/>
  <c r="O194" i="15" s="1"/>
  <c r="J127" i="15"/>
  <c r="O127" i="15" s="1"/>
  <c r="O195" i="15" s="1"/>
  <c r="J125" i="15"/>
  <c r="O125" i="15" s="1"/>
  <c r="K121" i="15"/>
  <c r="P121" i="15" s="1"/>
  <c r="P189" i="15" s="1"/>
  <c r="L121" i="15"/>
  <c r="Q121" i="15" s="1"/>
  <c r="Q189" i="15" s="1"/>
  <c r="M121" i="15"/>
  <c r="R121" i="15" s="1"/>
  <c r="R189" i="15" s="1"/>
  <c r="K122" i="15"/>
  <c r="P122" i="15" s="1"/>
  <c r="P190" i="15" s="1"/>
  <c r="L122" i="15"/>
  <c r="Q122" i="15" s="1"/>
  <c r="Q190" i="15" s="1"/>
  <c r="M122" i="15"/>
  <c r="R122" i="15" s="1"/>
  <c r="R190" i="15" s="1"/>
  <c r="K123" i="15"/>
  <c r="P123" i="15" s="1"/>
  <c r="P191" i="15" s="1"/>
  <c r="L123" i="15"/>
  <c r="Q123" i="15" s="1"/>
  <c r="Q191" i="15" s="1"/>
  <c r="M123" i="15"/>
  <c r="R123" i="15" s="1"/>
  <c r="R191" i="15" s="1"/>
  <c r="J122" i="15"/>
  <c r="O122" i="15" s="1"/>
  <c r="O190" i="15" s="1"/>
  <c r="J123" i="15"/>
  <c r="O123" i="15" s="1"/>
  <c r="O191" i="15" s="1"/>
  <c r="J121" i="15"/>
  <c r="O121" i="15" s="1"/>
  <c r="K117" i="15"/>
  <c r="P117" i="15" s="1"/>
  <c r="P185" i="15" s="1"/>
  <c r="L117" i="15"/>
  <c r="Q117" i="15" s="1"/>
  <c r="Q185" i="15" s="1"/>
  <c r="M117" i="15"/>
  <c r="R117" i="15" s="1"/>
  <c r="R185" i="15" s="1"/>
  <c r="K118" i="15"/>
  <c r="P118" i="15" s="1"/>
  <c r="P186" i="15" s="1"/>
  <c r="L118" i="15"/>
  <c r="Q118" i="15" s="1"/>
  <c r="Q186" i="15" s="1"/>
  <c r="M118" i="15"/>
  <c r="R118" i="15" s="1"/>
  <c r="R186" i="15" s="1"/>
  <c r="K119" i="15"/>
  <c r="P119" i="15" s="1"/>
  <c r="P187" i="15" s="1"/>
  <c r="L119" i="15"/>
  <c r="Q119" i="15" s="1"/>
  <c r="Q187" i="15" s="1"/>
  <c r="M119" i="15"/>
  <c r="R119" i="15" s="1"/>
  <c r="R187" i="15" s="1"/>
  <c r="J118" i="15"/>
  <c r="O118" i="15" s="1"/>
  <c r="O186" i="15" s="1"/>
  <c r="J119" i="15"/>
  <c r="O119" i="15" s="1"/>
  <c r="O187" i="15" s="1"/>
  <c r="J117" i="15"/>
  <c r="O117" i="15" s="1"/>
  <c r="K113" i="15"/>
  <c r="P113" i="15" s="1"/>
  <c r="P181" i="15" s="1"/>
  <c r="L113" i="15"/>
  <c r="Q113" i="15" s="1"/>
  <c r="Q181" i="15" s="1"/>
  <c r="M113" i="15"/>
  <c r="R113" i="15" s="1"/>
  <c r="R181" i="15" s="1"/>
  <c r="K114" i="15"/>
  <c r="P114" i="15" s="1"/>
  <c r="P182" i="15" s="1"/>
  <c r="L114" i="15"/>
  <c r="Q114" i="15" s="1"/>
  <c r="Q182" i="15" s="1"/>
  <c r="M114" i="15"/>
  <c r="R114" i="15" s="1"/>
  <c r="R182" i="15" s="1"/>
  <c r="K115" i="15"/>
  <c r="P115" i="15" s="1"/>
  <c r="L115" i="15"/>
  <c r="Q115" i="15" s="1"/>
  <c r="M115" i="15"/>
  <c r="R115" i="15" s="1"/>
  <c r="J114" i="15"/>
  <c r="O114" i="15" s="1"/>
  <c r="J115" i="15"/>
  <c r="O115" i="15" s="1"/>
  <c r="AD115" i="15" s="1"/>
  <c r="J113" i="15"/>
  <c r="O113" i="15" s="1"/>
  <c r="P109" i="15"/>
  <c r="Q109" i="15"/>
  <c r="R109" i="15"/>
  <c r="P110" i="15"/>
  <c r="P178" i="15" s="1"/>
  <c r="Q110" i="15"/>
  <c r="Q178" i="15" s="1"/>
  <c r="R110" i="15"/>
  <c r="R178" i="15" s="1"/>
  <c r="P111" i="15"/>
  <c r="P179" i="15" s="1"/>
  <c r="Q111" i="15"/>
  <c r="Q179" i="15" s="1"/>
  <c r="R111" i="15"/>
  <c r="R179" i="15" s="1"/>
  <c r="J110" i="15"/>
  <c r="O110" i="15" s="1"/>
  <c r="J111" i="15"/>
  <c r="O111" i="15" s="1"/>
  <c r="J109" i="15"/>
  <c r="O109" i="15" s="1"/>
  <c r="K91" i="15"/>
  <c r="L91" i="15"/>
  <c r="M91" i="15"/>
  <c r="K92" i="15"/>
  <c r="L92" i="15"/>
  <c r="M92" i="15"/>
  <c r="K93" i="15"/>
  <c r="L93" i="15"/>
  <c r="M93" i="15"/>
  <c r="J92" i="15"/>
  <c r="J93" i="15"/>
  <c r="O93" i="15" s="1"/>
  <c r="O250" i="15" s="1"/>
  <c r="J91" i="15"/>
  <c r="K87" i="15"/>
  <c r="L87" i="15"/>
  <c r="M87" i="15"/>
  <c r="K88" i="15"/>
  <c r="L88" i="15"/>
  <c r="M88" i="15"/>
  <c r="K89" i="15"/>
  <c r="L89" i="15"/>
  <c r="M89" i="15"/>
  <c r="J88" i="15"/>
  <c r="J89" i="15"/>
  <c r="J87" i="15"/>
  <c r="K79" i="15"/>
  <c r="L79" i="15"/>
  <c r="M79" i="15"/>
  <c r="K80" i="15"/>
  <c r="L80" i="15"/>
  <c r="M80" i="15"/>
  <c r="K81" i="15"/>
  <c r="L81" i="15"/>
  <c r="M81" i="15"/>
  <c r="J80" i="15"/>
  <c r="J81" i="15"/>
  <c r="J79" i="15"/>
  <c r="K95" i="15"/>
  <c r="L95" i="15"/>
  <c r="M95" i="15"/>
  <c r="K96" i="15"/>
  <c r="L96" i="15"/>
  <c r="M96" i="15"/>
  <c r="K97" i="15"/>
  <c r="L97" i="15"/>
  <c r="M97" i="15"/>
  <c r="J96" i="15"/>
  <c r="J97" i="15"/>
  <c r="J95" i="15"/>
  <c r="E92" i="15"/>
  <c r="F96" i="15"/>
  <c r="G96" i="15"/>
  <c r="H96" i="15"/>
  <c r="F97" i="15"/>
  <c r="G97" i="15"/>
  <c r="AF197" i="15" s="1"/>
  <c r="H97" i="15"/>
  <c r="E97" i="15"/>
  <c r="E96" i="15"/>
  <c r="F92" i="15"/>
  <c r="G92" i="15"/>
  <c r="H92" i="15"/>
  <c r="F93" i="15"/>
  <c r="G93" i="15"/>
  <c r="H93" i="15"/>
  <c r="E93" i="15"/>
  <c r="F88" i="15"/>
  <c r="G88" i="15"/>
  <c r="H88" i="15"/>
  <c r="F89" i="15"/>
  <c r="G89" i="15"/>
  <c r="H89" i="15"/>
  <c r="E89" i="15"/>
  <c r="E88" i="15"/>
  <c r="F84" i="15"/>
  <c r="G84" i="15"/>
  <c r="H84" i="15"/>
  <c r="R83" i="15" s="1"/>
  <c r="R240" i="15" s="1"/>
  <c r="F85" i="15"/>
  <c r="G85" i="15"/>
  <c r="H85" i="15"/>
  <c r="E85" i="15"/>
  <c r="E84" i="15"/>
  <c r="O85" i="15" s="1"/>
  <c r="O242" i="15" s="1"/>
  <c r="F81" i="15"/>
  <c r="G81" i="15"/>
  <c r="H81" i="15"/>
  <c r="E81" i="15"/>
  <c r="F80" i="15"/>
  <c r="G80" i="15"/>
  <c r="H80" i="15"/>
  <c r="E80" i="15"/>
  <c r="F77" i="15"/>
  <c r="G77" i="15"/>
  <c r="H77" i="15"/>
  <c r="E77" i="15"/>
  <c r="F76" i="15"/>
  <c r="G76" i="15"/>
  <c r="H76" i="15"/>
  <c r="E76" i="15"/>
  <c r="O157" i="15" l="1"/>
  <c r="O185" i="15"/>
  <c r="AI117" i="15"/>
  <c r="O165" i="15"/>
  <c r="O193" i="15"/>
  <c r="AI125" i="15"/>
  <c r="AD113" i="15"/>
  <c r="O181" i="15"/>
  <c r="T181" i="15" s="1"/>
  <c r="O153" i="15"/>
  <c r="AI113" i="15"/>
  <c r="O161" i="15"/>
  <c r="O189" i="15"/>
  <c r="AI121" i="15"/>
  <c r="O197" i="15"/>
  <c r="O169" i="15"/>
  <c r="AI129" i="15"/>
  <c r="O182" i="15"/>
  <c r="T182" i="15" s="1"/>
  <c r="AD114" i="15"/>
  <c r="O179" i="15"/>
  <c r="T179" i="15" s="1"/>
  <c r="AD111" i="15"/>
  <c r="Q79" i="15"/>
  <c r="Q236" i="15" s="1"/>
  <c r="O178" i="15"/>
  <c r="T178" i="15" s="1"/>
  <c r="AD110" i="15"/>
  <c r="AD109" i="15"/>
  <c r="O149" i="15"/>
  <c r="Y149" i="15" s="1"/>
  <c r="Y109" i="15"/>
  <c r="O177" i="15"/>
  <c r="T177" i="15" s="1"/>
  <c r="AI109" i="15"/>
  <c r="R91" i="15"/>
  <c r="R248" i="15" s="1"/>
  <c r="AG248" i="15" s="1"/>
  <c r="P89" i="15"/>
  <c r="P246" i="15" s="1"/>
  <c r="AL83" i="15"/>
  <c r="R213" i="15"/>
  <c r="AI85" i="15"/>
  <c r="O215" i="15"/>
  <c r="AD215" i="15" s="1"/>
  <c r="AI93" i="15"/>
  <c r="O223" i="15"/>
  <c r="AK115" i="15"/>
  <c r="Q183" i="15"/>
  <c r="AL115" i="15"/>
  <c r="R183" i="15"/>
  <c r="AL109" i="15"/>
  <c r="R177" i="15"/>
  <c r="AK109" i="15"/>
  <c r="Q177" i="15"/>
  <c r="AJ115" i="15"/>
  <c r="P183" i="15"/>
  <c r="AJ109" i="15"/>
  <c r="P177" i="15"/>
  <c r="AI115" i="15"/>
  <c r="O183" i="15"/>
  <c r="O163" i="15"/>
  <c r="AI123" i="15"/>
  <c r="AL129" i="15"/>
  <c r="R169" i="15"/>
  <c r="R150" i="15"/>
  <c r="AL110" i="15"/>
  <c r="O162" i="15"/>
  <c r="AI122" i="15"/>
  <c r="R166" i="15"/>
  <c r="AL126" i="15"/>
  <c r="AI130" i="15"/>
  <c r="O170" i="15"/>
  <c r="Q150" i="15"/>
  <c r="AK110" i="15"/>
  <c r="Q158" i="15"/>
  <c r="AK118" i="15"/>
  <c r="R163" i="15"/>
  <c r="AL123" i="15"/>
  <c r="Q166" i="15"/>
  <c r="AK126" i="15"/>
  <c r="AL131" i="15"/>
  <c r="R171" i="15"/>
  <c r="P150" i="15"/>
  <c r="AJ110" i="15"/>
  <c r="P158" i="15"/>
  <c r="AJ118" i="15"/>
  <c r="Q163" i="15"/>
  <c r="AK123" i="15"/>
  <c r="P166" i="15"/>
  <c r="AJ126" i="15"/>
  <c r="Q171" i="15"/>
  <c r="AK131" i="15"/>
  <c r="R153" i="15"/>
  <c r="AL113" i="15"/>
  <c r="O154" i="15"/>
  <c r="AI114" i="15"/>
  <c r="Q161" i="15"/>
  <c r="AK121" i="15"/>
  <c r="AK129" i="15"/>
  <c r="Q169" i="15"/>
  <c r="P153" i="15"/>
  <c r="AJ113" i="15"/>
  <c r="P161" i="15"/>
  <c r="AJ121" i="15"/>
  <c r="P169" i="15"/>
  <c r="AJ129" i="15"/>
  <c r="O151" i="15"/>
  <c r="AI111" i="15"/>
  <c r="O159" i="15"/>
  <c r="AI119" i="15"/>
  <c r="R157" i="15"/>
  <c r="AL117" i="15"/>
  <c r="P163" i="15"/>
  <c r="AJ123" i="15"/>
  <c r="O167" i="15"/>
  <c r="AI127" i="15"/>
  <c r="R165" i="15"/>
  <c r="AL125" i="15"/>
  <c r="P171" i="15"/>
  <c r="AJ131" i="15"/>
  <c r="P151" i="15"/>
  <c r="AJ111" i="15"/>
  <c r="P159" i="15"/>
  <c r="AJ119" i="15"/>
  <c r="P167" i="15"/>
  <c r="AJ127" i="15"/>
  <c r="Q153" i="15"/>
  <c r="AK113" i="15"/>
  <c r="O158" i="15"/>
  <c r="AI118" i="15"/>
  <c r="R162" i="15"/>
  <c r="AL122" i="15"/>
  <c r="Q165" i="15"/>
  <c r="AK125" i="15"/>
  <c r="R151" i="15"/>
  <c r="AL111" i="15"/>
  <c r="Q154" i="15"/>
  <c r="AK114" i="15"/>
  <c r="R159" i="15"/>
  <c r="AL119" i="15"/>
  <c r="P157" i="15"/>
  <c r="AJ117" i="15"/>
  <c r="Q162" i="15"/>
  <c r="AK122" i="15"/>
  <c r="R167" i="15"/>
  <c r="AL127" i="15"/>
  <c r="P165" i="15"/>
  <c r="AJ125" i="15"/>
  <c r="AK130" i="15"/>
  <c r="Q170" i="15"/>
  <c r="R161" i="15"/>
  <c r="AL121" i="15"/>
  <c r="AI131" i="15"/>
  <c r="O171" i="15"/>
  <c r="T171" i="15" s="1"/>
  <c r="R158" i="15"/>
  <c r="AL118" i="15"/>
  <c r="O150" i="15"/>
  <c r="AI110" i="15"/>
  <c r="R154" i="15"/>
  <c r="AL114" i="15"/>
  <c r="Q157" i="15"/>
  <c r="AK117" i="15"/>
  <c r="O166" i="15"/>
  <c r="AI126" i="15"/>
  <c r="R170" i="15"/>
  <c r="AL130" i="15"/>
  <c r="Q151" i="15"/>
  <c r="AK111" i="15"/>
  <c r="P154" i="15"/>
  <c r="AJ114" i="15"/>
  <c r="Q159" i="15"/>
  <c r="AK119" i="15"/>
  <c r="P162" i="15"/>
  <c r="AJ122" i="15"/>
  <c r="Q167" i="15"/>
  <c r="AK127" i="15"/>
  <c r="AJ130" i="15"/>
  <c r="P170" i="15"/>
  <c r="AG115" i="15"/>
  <c r="R155" i="15"/>
  <c r="AF115" i="15"/>
  <c r="Q155" i="15"/>
  <c r="AB109" i="15"/>
  <c r="R149" i="15"/>
  <c r="AB149" i="15" s="1"/>
  <c r="AE115" i="15"/>
  <c r="P155" i="15"/>
  <c r="AA109" i="15"/>
  <c r="Q149" i="15"/>
  <c r="AA149" i="15" s="1"/>
  <c r="Z109" i="15"/>
  <c r="P149" i="15"/>
  <c r="Z149" i="15" s="1"/>
  <c r="O155" i="15"/>
  <c r="Y155" i="15" s="1"/>
  <c r="AF181" i="15"/>
  <c r="AG123" i="15"/>
  <c r="AB123" i="15"/>
  <c r="AE123" i="15"/>
  <c r="Z123" i="15"/>
  <c r="AD123" i="15"/>
  <c r="Y123" i="15"/>
  <c r="AF123" i="15"/>
  <c r="AA123" i="15"/>
  <c r="O96" i="15"/>
  <c r="O253" i="15" s="1"/>
  <c r="V115" i="15"/>
  <c r="AA115" i="15"/>
  <c r="T117" i="15"/>
  <c r="Y117" i="15"/>
  <c r="AD117" i="15"/>
  <c r="U118" i="15"/>
  <c r="AE118" i="15"/>
  <c r="Z118" i="15"/>
  <c r="V123" i="15"/>
  <c r="Y125" i="15"/>
  <c r="AD125" i="15"/>
  <c r="T125" i="15"/>
  <c r="Z126" i="15"/>
  <c r="AE126" i="15"/>
  <c r="U126" i="15"/>
  <c r="AA131" i="15"/>
  <c r="V131" i="15"/>
  <c r="AF131" i="15"/>
  <c r="U115" i="15"/>
  <c r="Z115" i="15"/>
  <c r="Y119" i="15"/>
  <c r="T119" i="15"/>
  <c r="AD119" i="15"/>
  <c r="AG117" i="15"/>
  <c r="W117" i="15"/>
  <c r="AB117" i="15"/>
  <c r="U123" i="15"/>
  <c r="T127" i="15"/>
  <c r="Y127" i="15"/>
  <c r="AD127" i="15"/>
  <c r="AB125" i="15"/>
  <c r="AG125" i="15"/>
  <c r="W125" i="15"/>
  <c r="AE131" i="15"/>
  <c r="U131" i="15"/>
  <c r="Z131" i="15"/>
  <c r="W114" i="15"/>
  <c r="AG114" i="15"/>
  <c r="AB114" i="15"/>
  <c r="Y118" i="15"/>
  <c r="T118" i="15"/>
  <c r="AD118" i="15"/>
  <c r="AA117" i="15"/>
  <c r="V117" i="15"/>
  <c r="AF117" i="15"/>
  <c r="AB122" i="15"/>
  <c r="AG122" i="15"/>
  <c r="W122" i="15"/>
  <c r="AD126" i="15"/>
  <c r="T126" i="15"/>
  <c r="Y126" i="15"/>
  <c r="AA125" i="15"/>
  <c r="AF125" i="15"/>
  <c r="V125" i="15"/>
  <c r="AG130" i="15"/>
  <c r="AB130" i="15"/>
  <c r="W130" i="15"/>
  <c r="V114" i="15"/>
  <c r="AF114" i="15"/>
  <c r="AA114" i="15"/>
  <c r="W119" i="15"/>
  <c r="AG119" i="15"/>
  <c r="AB119" i="15"/>
  <c r="AE117" i="15"/>
  <c r="Z117" i="15"/>
  <c r="U117" i="15"/>
  <c r="AA122" i="15"/>
  <c r="AF122" i="15"/>
  <c r="V122" i="15"/>
  <c r="W127" i="15"/>
  <c r="AB127" i="15"/>
  <c r="AG127" i="15"/>
  <c r="Z125" i="15"/>
  <c r="AE125" i="15"/>
  <c r="U125" i="15"/>
  <c r="AA130" i="15"/>
  <c r="AF130" i="15"/>
  <c r="V130" i="15"/>
  <c r="T113" i="15"/>
  <c r="Y113" i="15"/>
  <c r="Z114" i="15"/>
  <c r="U114" i="15"/>
  <c r="AE114" i="15"/>
  <c r="AA119" i="15"/>
  <c r="V119" i="15"/>
  <c r="AF119" i="15"/>
  <c r="Y121" i="15"/>
  <c r="T121" i="15"/>
  <c r="AD121" i="15"/>
  <c r="U122" i="15"/>
  <c r="Z122" i="15"/>
  <c r="AE122" i="15"/>
  <c r="AF127" i="15"/>
  <c r="V127" i="15"/>
  <c r="AA127" i="15"/>
  <c r="Y129" i="15"/>
  <c r="AD129" i="15"/>
  <c r="T129" i="15"/>
  <c r="AE130" i="15"/>
  <c r="U130" i="15"/>
  <c r="Z130" i="15"/>
  <c r="T115" i="15"/>
  <c r="Y115" i="15"/>
  <c r="W113" i="15"/>
  <c r="AG113" i="15"/>
  <c r="AB113" i="15"/>
  <c r="U119" i="15"/>
  <c r="AE119" i="15"/>
  <c r="Z119" i="15"/>
  <c r="T123" i="15"/>
  <c r="W121" i="15"/>
  <c r="AG121" i="15"/>
  <c r="AB121" i="15"/>
  <c r="AE127" i="15"/>
  <c r="U127" i="15"/>
  <c r="Z127" i="15"/>
  <c r="T131" i="15"/>
  <c r="Y131" i="15"/>
  <c r="AD131" i="15"/>
  <c r="AB129" i="15"/>
  <c r="AG129" i="15"/>
  <c r="W129" i="15"/>
  <c r="T114" i="15"/>
  <c r="Y114" i="15"/>
  <c r="V113" i="15"/>
  <c r="AF113" i="15"/>
  <c r="AA113" i="15"/>
  <c r="W118" i="15"/>
  <c r="AG118" i="15"/>
  <c r="AB118" i="15"/>
  <c r="Y122" i="15"/>
  <c r="AD122" i="15"/>
  <c r="T122" i="15"/>
  <c r="V121" i="15"/>
  <c r="AA121" i="15"/>
  <c r="AF121" i="15"/>
  <c r="AG126" i="15"/>
  <c r="W126" i="15"/>
  <c r="AB126" i="15"/>
  <c r="Y130" i="15"/>
  <c r="T130" i="15"/>
  <c r="AD130" i="15"/>
  <c r="AA129" i="15"/>
  <c r="AF129" i="15"/>
  <c r="V129" i="15"/>
  <c r="W115" i="15"/>
  <c r="AB115" i="15"/>
  <c r="AE113" i="15"/>
  <c r="Z113" i="15"/>
  <c r="U113" i="15"/>
  <c r="V118" i="15"/>
  <c r="AA118" i="15"/>
  <c r="AF118" i="15"/>
  <c r="W123" i="15"/>
  <c r="U121" i="15"/>
  <c r="AE121" i="15"/>
  <c r="Z121" i="15"/>
  <c r="AA126" i="15"/>
  <c r="V126" i="15"/>
  <c r="AF126" i="15"/>
  <c r="W131" i="15"/>
  <c r="AB131" i="15"/>
  <c r="AG131" i="15"/>
  <c r="U129" i="15"/>
  <c r="Z129" i="15"/>
  <c r="AE129" i="15"/>
  <c r="AD93" i="15"/>
  <c r="T93" i="15"/>
  <c r="Y93" i="15"/>
  <c r="U110" i="15"/>
  <c r="AE110" i="15"/>
  <c r="Z110" i="15"/>
  <c r="T111" i="15"/>
  <c r="Y111" i="15"/>
  <c r="V109" i="15"/>
  <c r="AF109" i="15"/>
  <c r="U109" i="15"/>
  <c r="AE109" i="15"/>
  <c r="W83" i="15"/>
  <c r="AG83" i="15"/>
  <c r="AB83" i="15"/>
  <c r="AA111" i="15"/>
  <c r="V111" i="15"/>
  <c r="AF111" i="15"/>
  <c r="T109" i="15"/>
  <c r="T110" i="15"/>
  <c r="Y110" i="15"/>
  <c r="W111" i="15"/>
  <c r="AG111" i="15"/>
  <c r="AB111" i="15"/>
  <c r="U111" i="15"/>
  <c r="AE111" i="15"/>
  <c r="Z111" i="15"/>
  <c r="AF79" i="15"/>
  <c r="W109" i="15"/>
  <c r="AG109" i="15"/>
  <c r="AE89" i="15"/>
  <c r="AB110" i="15"/>
  <c r="W110" i="15"/>
  <c r="AG110" i="15"/>
  <c r="AD85" i="15"/>
  <c r="Y85" i="15"/>
  <c r="T85" i="15"/>
  <c r="V110" i="15"/>
  <c r="AF110" i="15"/>
  <c r="AA110" i="15"/>
  <c r="Q87" i="15"/>
  <c r="O88" i="15"/>
  <c r="O245" i="15" s="1"/>
  <c r="O80" i="15"/>
  <c r="V197" i="15"/>
  <c r="AA197" i="15"/>
  <c r="Q77" i="15"/>
  <c r="Q234" i="15" s="1"/>
  <c r="O95" i="15"/>
  <c r="P96" i="15"/>
  <c r="Q81" i="15"/>
  <c r="O83" i="15"/>
  <c r="P84" i="15"/>
  <c r="P241" i="15" s="1"/>
  <c r="Q89" i="15"/>
  <c r="Q246" i="15" s="1"/>
  <c r="O91" i="15"/>
  <c r="P92" i="15"/>
  <c r="P249" i="15" s="1"/>
  <c r="AG240" i="15"/>
  <c r="AD223" i="15"/>
  <c r="AD250" i="15"/>
  <c r="AF194" i="15"/>
  <c r="P81" i="15"/>
  <c r="P238" i="15" s="1"/>
  <c r="P79" i="15"/>
  <c r="P236" i="15" s="1"/>
  <c r="AE195" i="15"/>
  <c r="AE197" i="15"/>
  <c r="AF189" i="15"/>
  <c r="R89" i="15"/>
  <c r="R246" i="15" s="1"/>
  <c r="Q92" i="15"/>
  <c r="Q249" i="15" s="1"/>
  <c r="Q84" i="15"/>
  <c r="Q241" i="15" s="1"/>
  <c r="R76" i="15"/>
  <c r="R233" i="15" s="1"/>
  <c r="Q95" i="15"/>
  <c r="Q252" i="15" s="1"/>
  <c r="R80" i="15"/>
  <c r="R237" i="15" s="1"/>
  <c r="O84" i="15"/>
  <c r="O241" i="15" s="1"/>
  <c r="R88" i="15"/>
  <c r="R245" i="15" s="1"/>
  <c r="O92" i="15"/>
  <c r="O249" i="15" s="1"/>
  <c r="Q91" i="15"/>
  <c r="Q248" i="15" s="1"/>
  <c r="AF248" i="15" s="1"/>
  <c r="AE187" i="15"/>
  <c r="R81" i="15"/>
  <c r="R238" i="15" s="1"/>
  <c r="AG194" i="15"/>
  <c r="AG197" i="15"/>
  <c r="R84" i="15"/>
  <c r="R241" i="15" s="1"/>
  <c r="AE246" i="15"/>
  <c r="AG186" i="15"/>
  <c r="AD199" i="15"/>
  <c r="P77" i="15"/>
  <c r="P234" i="15" s="1"/>
  <c r="O97" i="15"/>
  <c r="O254" i="15" s="1"/>
  <c r="R95" i="15"/>
  <c r="R252" i="15" s="1"/>
  <c r="P87" i="15"/>
  <c r="P244" i="15" s="1"/>
  <c r="Q76" i="15"/>
  <c r="Q233" i="15" s="1"/>
  <c r="R97" i="15"/>
  <c r="R254" i="15" s="1"/>
  <c r="P95" i="15"/>
  <c r="P252" i="15" s="1"/>
  <c r="Q80" i="15"/>
  <c r="Q237" i="15" s="1"/>
  <c r="R85" i="15"/>
  <c r="R242" i="15" s="1"/>
  <c r="P83" i="15"/>
  <c r="P240" i="15" s="1"/>
  <c r="Q88" i="15"/>
  <c r="Q245" i="15" s="1"/>
  <c r="R93" i="15"/>
  <c r="R250" i="15" s="1"/>
  <c r="P91" i="15"/>
  <c r="P248" i="15" s="1"/>
  <c r="AE248" i="15" s="1"/>
  <c r="R92" i="15"/>
  <c r="R249" i="15" s="1"/>
  <c r="O75" i="15"/>
  <c r="P76" i="15"/>
  <c r="P233" i="15" s="1"/>
  <c r="Q97" i="15"/>
  <c r="Q254" i="15" s="1"/>
  <c r="O79" i="15"/>
  <c r="P80" i="15"/>
  <c r="P237" i="15" s="1"/>
  <c r="Q85" i="15"/>
  <c r="Q242" i="15" s="1"/>
  <c r="O87" i="15"/>
  <c r="P88" i="15"/>
  <c r="P245" i="15" s="1"/>
  <c r="Q93" i="15"/>
  <c r="Q250" i="15" s="1"/>
  <c r="O77" i="15"/>
  <c r="O234" i="15" s="1"/>
  <c r="R75" i="15"/>
  <c r="R232" i="15" s="1"/>
  <c r="P97" i="15"/>
  <c r="P254" i="15" s="1"/>
  <c r="O81" i="15"/>
  <c r="O238" i="15" s="1"/>
  <c r="R79" i="15"/>
  <c r="R236" i="15" s="1"/>
  <c r="P85" i="15"/>
  <c r="P242" i="15" s="1"/>
  <c r="O89" i="15"/>
  <c r="O246" i="15" s="1"/>
  <c r="R87" i="15"/>
  <c r="R244" i="15" s="1"/>
  <c r="P93" i="15"/>
  <c r="P250" i="15" s="1"/>
  <c r="Q83" i="15"/>
  <c r="Q240" i="15" s="1"/>
  <c r="O76" i="15"/>
  <c r="O233" i="15" s="1"/>
  <c r="Q75" i="15"/>
  <c r="Q232" i="15" s="1"/>
  <c r="R96" i="15"/>
  <c r="R253" i="15" s="1"/>
  <c r="R77" i="15"/>
  <c r="R234" i="15" s="1"/>
  <c r="P75" i="15"/>
  <c r="P232" i="15" s="1"/>
  <c r="Q96" i="15"/>
  <c r="Q253" i="15" s="1"/>
  <c r="U89" i="15" l="1"/>
  <c r="Z89" i="15"/>
  <c r="P219" i="15"/>
  <c r="AE219" i="15" s="1"/>
  <c r="AD183" i="15"/>
  <c r="T183" i="15"/>
  <c r="Q217" i="15"/>
  <c r="AF217" i="15" s="1"/>
  <c r="Q244" i="15"/>
  <c r="AF244" i="15" s="1"/>
  <c r="O244" i="15"/>
  <c r="AD244" i="15" s="1"/>
  <c r="O217" i="15"/>
  <c r="AI87" i="15"/>
  <c r="AB91" i="15"/>
  <c r="O252" i="15"/>
  <c r="AD252" i="15" s="1"/>
  <c r="O225" i="15"/>
  <c r="T225" i="15" s="1"/>
  <c r="AI95" i="15"/>
  <c r="W91" i="15"/>
  <c r="O248" i="15"/>
  <c r="AD248" i="15" s="1"/>
  <c r="O221" i="15"/>
  <c r="AI91" i="15"/>
  <c r="R221" i="15"/>
  <c r="AG221" i="15" s="1"/>
  <c r="Q209" i="15"/>
  <c r="AA209" i="15" s="1"/>
  <c r="O232" i="15"/>
  <c r="AD232" i="15" s="1"/>
  <c r="AI75" i="15"/>
  <c r="O205" i="15"/>
  <c r="AD205" i="15" s="1"/>
  <c r="Q211" i="15"/>
  <c r="AF211" i="15" s="1"/>
  <c r="Q238" i="15"/>
  <c r="V79" i="15"/>
  <c r="O236" i="15"/>
  <c r="AD236" i="15" s="1"/>
  <c r="O209" i="15"/>
  <c r="AD209" i="15" s="1"/>
  <c r="AI79" i="15"/>
  <c r="AL91" i="15"/>
  <c r="AK79" i="15"/>
  <c r="O210" i="15"/>
  <c r="AD210" i="15" s="1"/>
  <c r="O237" i="15"/>
  <c r="P226" i="15"/>
  <c r="P253" i="15"/>
  <c r="AE253" i="15" s="1"/>
  <c r="AA79" i="15"/>
  <c r="AG91" i="15"/>
  <c r="AJ89" i="15"/>
  <c r="O240" i="15"/>
  <c r="AD240" i="15" s="1"/>
  <c r="O213" i="15"/>
  <c r="T213" i="15" s="1"/>
  <c r="AI83" i="15"/>
  <c r="AK97" i="15"/>
  <c r="Q227" i="15"/>
  <c r="AF227" i="15" s="1"/>
  <c r="Y96" i="15"/>
  <c r="O226" i="15"/>
  <c r="Y226" i="15" s="1"/>
  <c r="AJ93" i="15"/>
  <c r="P223" i="15"/>
  <c r="AE223" i="15" s="1"/>
  <c r="AI77" i="15"/>
  <c r="O207" i="15"/>
  <c r="AD207" i="15" s="1"/>
  <c r="AJ76" i="15"/>
  <c r="P206" i="15"/>
  <c r="AE206" i="15" s="1"/>
  <c r="AK80" i="15"/>
  <c r="Q210" i="15"/>
  <c r="AF210" i="15" s="1"/>
  <c r="AL81" i="15"/>
  <c r="R211" i="15"/>
  <c r="AG211" i="15" s="1"/>
  <c r="AL76" i="15"/>
  <c r="R206" i="15"/>
  <c r="AG206" i="15" s="1"/>
  <c r="AI89" i="15"/>
  <c r="O219" i="15"/>
  <c r="AK91" i="15"/>
  <c r="Q221" i="15"/>
  <c r="AF221" i="15" s="1"/>
  <c r="AJ92" i="15"/>
  <c r="P222" i="15"/>
  <c r="AE222" i="15" s="1"/>
  <c r="AK77" i="15"/>
  <c r="Q207" i="15"/>
  <c r="AL75" i="15"/>
  <c r="R205" i="15"/>
  <c r="AL97" i="15"/>
  <c r="R227" i="15"/>
  <c r="AG227" i="15" s="1"/>
  <c r="AJ85" i="15"/>
  <c r="P215" i="15"/>
  <c r="AE215" i="15" s="1"/>
  <c r="AK83" i="15"/>
  <c r="Q213" i="15"/>
  <c r="AF213" i="15" s="1"/>
  <c r="AJ77" i="15"/>
  <c r="P207" i="15"/>
  <c r="AE207" i="15" s="1"/>
  <c r="AK93" i="15"/>
  <c r="Q223" i="15"/>
  <c r="AF223" i="15" s="1"/>
  <c r="AK84" i="15"/>
  <c r="Q214" i="15"/>
  <c r="AF214" i="15" s="1"/>
  <c r="AJ88" i="15"/>
  <c r="P218" i="15"/>
  <c r="AE218" i="15" s="1"/>
  <c r="AL92" i="15"/>
  <c r="R222" i="15"/>
  <c r="AG222" i="15" s="1"/>
  <c r="AJ81" i="15"/>
  <c r="P211" i="15"/>
  <c r="AE211" i="15" s="1"/>
  <c r="AL77" i="15"/>
  <c r="R207" i="15"/>
  <c r="AG207" i="15" s="1"/>
  <c r="AK76" i="15"/>
  <c r="Q206" i="15"/>
  <c r="AF206" i="15" s="1"/>
  <c r="AL88" i="15"/>
  <c r="R218" i="15"/>
  <c r="AG218" i="15" s="1"/>
  <c r="AK92" i="15"/>
  <c r="Q222" i="15"/>
  <c r="AF222" i="15" s="1"/>
  <c r="AK89" i="15"/>
  <c r="Q219" i="15"/>
  <c r="AF219" i="15" s="1"/>
  <c r="AK95" i="15"/>
  <c r="Q225" i="15"/>
  <c r="AF225" i="15" s="1"/>
  <c r="AK96" i="15"/>
  <c r="Q226" i="15"/>
  <c r="AL96" i="15"/>
  <c r="R226" i="15"/>
  <c r="AG226" i="15" s="1"/>
  <c r="AK85" i="15"/>
  <c r="Q215" i="15"/>
  <c r="AF215" i="15" s="1"/>
  <c r="AL93" i="15"/>
  <c r="R223" i="15"/>
  <c r="AG223" i="15" s="1"/>
  <c r="AK75" i="15"/>
  <c r="Q205" i="15"/>
  <c r="AF205" i="15" s="1"/>
  <c r="AI81" i="15"/>
  <c r="O211" i="15"/>
  <c r="AD211" i="15" s="1"/>
  <c r="AJ80" i="15"/>
  <c r="P210" i="15"/>
  <c r="AE210" i="15" s="1"/>
  <c r="AK88" i="15"/>
  <c r="Q218" i="15"/>
  <c r="AF218" i="15" s="1"/>
  <c r="AL95" i="15"/>
  <c r="R225" i="15"/>
  <c r="AG225" i="15" s="1"/>
  <c r="AL84" i="15"/>
  <c r="R214" i="15"/>
  <c r="AG214" i="15" s="1"/>
  <c r="AI84" i="15"/>
  <c r="O214" i="15"/>
  <c r="AD214" i="15" s="1"/>
  <c r="AL89" i="15"/>
  <c r="R219" i="15"/>
  <c r="AG219" i="15" s="1"/>
  <c r="AJ84" i="15"/>
  <c r="P214" i="15"/>
  <c r="AE214" i="15" s="1"/>
  <c r="AL85" i="15"/>
  <c r="R215" i="15"/>
  <c r="AG215" i="15" s="1"/>
  <c r="AL87" i="15"/>
  <c r="R217" i="15"/>
  <c r="AG217" i="15" s="1"/>
  <c r="AJ95" i="15"/>
  <c r="P225" i="15"/>
  <c r="AE225" i="15" s="1"/>
  <c r="AJ79" i="15"/>
  <c r="P209" i="15"/>
  <c r="AJ75" i="15"/>
  <c r="P205" i="15"/>
  <c r="AE205" i="15" s="1"/>
  <c r="AJ91" i="15"/>
  <c r="P221" i="15"/>
  <c r="AE221" i="15" s="1"/>
  <c r="AI92" i="15"/>
  <c r="O222" i="15"/>
  <c r="AD222" i="15" s="1"/>
  <c r="AL79" i="15"/>
  <c r="R209" i="15"/>
  <c r="AG209" i="15" s="1"/>
  <c r="AJ87" i="15"/>
  <c r="P217" i="15"/>
  <c r="AE217" i="15" s="1"/>
  <c r="AI76" i="15"/>
  <c r="O206" i="15"/>
  <c r="AD206" i="15" s="1"/>
  <c r="AJ97" i="15"/>
  <c r="P227" i="15"/>
  <c r="AE227" i="15" s="1"/>
  <c r="AJ83" i="15"/>
  <c r="P213" i="15"/>
  <c r="AI97" i="15"/>
  <c r="O227" i="15"/>
  <c r="AD227" i="15" s="1"/>
  <c r="AL80" i="15"/>
  <c r="R210" i="15"/>
  <c r="AG210" i="15" s="1"/>
  <c r="AI88" i="15"/>
  <c r="O218" i="15"/>
  <c r="AD253" i="15"/>
  <c r="AI96" i="15"/>
  <c r="T96" i="15"/>
  <c r="AD237" i="15"/>
  <c r="AI80" i="15"/>
  <c r="AD96" i="15"/>
  <c r="AF238" i="15"/>
  <c r="AK81" i="15"/>
  <c r="AK87" i="15"/>
  <c r="AE226" i="15"/>
  <c r="AJ96" i="15"/>
  <c r="Y171" i="15"/>
  <c r="AD171" i="15"/>
  <c r="AA181" i="15"/>
  <c r="V181" i="15"/>
  <c r="AD155" i="15"/>
  <c r="T155" i="15"/>
  <c r="W248" i="15"/>
  <c r="T242" i="15"/>
  <c r="AD242" i="15"/>
  <c r="W213" i="15"/>
  <c r="AG213" i="15"/>
  <c r="V236" i="15"/>
  <c r="AF236" i="15"/>
  <c r="AF209" i="15"/>
  <c r="AB248" i="15"/>
  <c r="Y81" i="15"/>
  <c r="T81" i="15"/>
  <c r="AD81" i="15"/>
  <c r="W95" i="15"/>
  <c r="AB95" i="15"/>
  <c r="AG95" i="15"/>
  <c r="Z97" i="15"/>
  <c r="U97" i="15"/>
  <c r="AE97" i="15"/>
  <c r="U83" i="15"/>
  <c r="AE83" i="15"/>
  <c r="Z83" i="15"/>
  <c r="W88" i="15"/>
  <c r="AG88" i="15"/>
  <c r="AB88" i="15"/>
  <c r="T88" i="15"/>
  <c r="Y88" i="15"/>
  <c r="AD88" i="15"/>
  <c r="AG75" i="15"/>
  <c r="W75" i="15"/>
  <c r="AB75" i="15"/>
  <c r="U77" i="15"/>
  <c r="AE77" i="15"/>
  <c r="Z77" i="15"/>
  <c r="U93" i="15"/>
  <c r="AE93" i="15"/>
  <c r="Z93" i="15"/>
  <c r="V96" i="15"/>
  <c r="AF96" i="15"/>
  <c r="AA96" i="15"/>
  <c r="Y75" i="15"/>
  <c r="AD75" i="15"/>
  <c r="T75" i="15"/>
  <c r="Z81" i="15"/>
  <c r="U81" i="15"/>
  <c r="AE81" i="15"/>
  <c r="AA81" i="15"/>
  <c r="V81" i="15"/>
  <c r="AF81" i="15"/>
  <c r="Z75" i="15"/>
  <c r="AE75" i="15"/>
  <c r="U75" i="15"/>
  <c r="Y89" i="15"/>
  <c r="T89" i="15"/>
  <c r="AD89" i="15"/>
  <c r="U88" i="15"/>
  <c r="AE88" i="15"/>
  <c r="Z88" i="15"/>
  <c r="W92" i="15"/>
  <c r="AB92" i="15"/>
  <c r="AG92" i="15"/>
  <c r="W97" i="15"/>
  <c r="AB97" i="15"/>
  <c r="AG97" i="15"/>
  <c r="AB76" i="15"/>
  <c r="W76" i="15"/>
  <c r="AG76" i="15"/>
  <c r="U96" i="15"/>
  <c r="AE96" i="15"/>
  <c r="Z96" i="15"/>
  <c r="AF75" i="15"/>
  <c r="V75" i="15"/>
  <c r="AA75" i="15"/>
  <c r="V88" i="15"/>
  <c r="AF88" i="15"/>
  <c r="AA88" i="15"/>
  <c r="AD80" i="15"/>
  <c r="Y80" i="15"/>
  <c r="T80" i="15"/>
  <c r="T76" i="15"/>
  <c r="AD76" i="15"/>
  <c r="Y76" i="15"/>
  <c r="Y79" i="15"/>
  <c r="T79" i="15"/>
  <c r="AD79" i="15"/>
  <c r="Y97" i="15"/>
  <c r="T97" i="15"/>
  <c r="AD97" i="15"/>
  <c r="AA89" i="15"/>
  <c r="V89" i="15"/>
  <c r="AF89" i="15"/>
  <c r="V83" i="15"/>
  <c r="AF83" i="15"/>
  <c r="AA83" i="15"/>
  <c r="W85" i="15"/>
  <c r="AG85" i="15"/>
  <c r="AB85" i="15"/>
  <c r="Z84" i="15"/>
  <c r="U84" i="15"/>
  <c r="AE84" i="15"/>
  <c r="AD77" i="15"/>
  <c r="T77" i="15"/>
  <c r="Y77" i="15"/>
  <c r="Z76" i="15"/>
  <c r="U76" i="15"/>
  <c r="AE76" i="15"/>
  <c r="AB80" i="15"/>
  <c r="W80" i="15"/>
  <c r="AG80" i="15"/>
  <c r="Z79" i="15"/>
  <c r="U79" i="15"/>
  <c r="AE79" i="15"/>
  <c r="AD83" i="15"/>
  <c r="Y83" i="15"/>
  <c r="T83" i="15"/>
  <c r="V93" i="15"/>
  <c r="AF93" i="15"/>
  <c r="AA93" i="15"/>
  <c r="Z95" i="15"/>
  <c r="U95" i="15"/>
  <c r="AE95" i="15"/>
  <c r="AA95" i="15"/>
  <c r="V95" i="15"/>
  <c r="AF95" i="15"/>
  <c r="AB77" i="15"/>
  <c r="W77" i="15"/>
  <c r="AG77" i="15"/>
  <c r="U85" i="15"/>
  <c r="AE85" i="15"/>
  <c r="Z85" i="15"/>
  <c r="Y87" i="15"/>
  <c r="T87" i="15"/>
  <c r="AD87" i="15"/>
  <c r="U91" i="15"/>
  <c r="AE91" i="15"/>
  <c r="Z91" i="15"/>
  <c r="AA76" i="15"/>
  <c r="V76" i="15"/>
  <c r="AF76" i="15"/>
  <c r="W81" i="15"/>
  <c r="AB81" i="15"/>
  <c r="AG81" i="15"/>
  <c r="AA84" i="15"/>
  <c r="V84" i="15"/>
  <c r="AF84" i="15"/>
  <c r="AB213" i="15"/>
  <c r="T95" i="15"/>
  <c r="AD95" i="15"/>
  <c r="Y95" i="15"/>
  <c r="Y242" i="15"/>
  <c r="U80" i="15"/>
  <c r="AE80" i="15"/>
  <c r="Z80" i="15"/>
  <c r="Y221" i="15"/>
  <c r="AD91" i="15"/>
  <c r="T91" i="15"/>
  <c r="Y91" i="15"/>
  <c r="AG84" i="15"/>
  <c r="W84" i="15"/>
  <c r="AB84" i="15"/>
  <c r="AA97" i="15"/>
  <c r="V97" i="15"/>
  <c r="AF97" i="15"/>
  <c r="Y84" i="15"/>
  <c r="T84" i="15"/>
  <c r="AD84" i="15"/>
  <c r="AA87" i="15"/>
  <c r="V87" i="15"/>
  <c r="AF87" i="15"/>
  <c r="V80" i="15"/>
  <c r="AF80" i="15"/>
  <c r="AA80" i="15"/>
  <c r="AA92" i="15"/>
  <c r="V92" i="15"/>
  <c r="AF92" i="15"/>
  <c r="AG87" i="15"/>
  <c r="AB87" i="15"/>
  <c r="W87" i="15"/>
  <c r="W89" i="15"/>
  <c r="AB89" i="15"/>
  <c r="AG89" i="15"/>
  <c r="W96" i="15"/>
  <c r="AG96" i="15"/>
  <c r="AB96" i="15"/>
  <c r="W79" i="15"/>
  <c r="AB79" i="15"/>
  <c r="AG79" i="15"/>
  <c r="V85" i="15"/>
  <c r="AF85" i="15"/>
  <c r="AA85" i="15"/>
  <c r="W93" i="15"/>
  <c r="AG93" i="15"/>
  <c r="AB93" i="15"/>
  <c r="Z87" i="15"/>
  <c r="U87" i="15"/>
  <c r="AE87" i="15"/>
  <c r="V91" i="15"/>
  <c r="AF91" i="15"/>
  <c r="AA91" i="15"/>
  <c r="V246" i="15"/>
  <c r="Z92" i="15"/>
  <c r="U92" i="15"/>
  <c r="AE92" i="15"/>
  <c r="AF234" i="15"/>
  <c r="V77" i="15"/>
  <c r="AF77" i="15"/>
  <c r="AA77" i="15"/>
  <c r="T92" i="15"/>
  <c r="AD92" i="15"/>
  <c r="Y92" i="15"/>
  <c r="AA236" i="15"/>
  <c r="W151" i="15"/>
  <c r="AB151" i="15"/>
  <c r="AG151" i="15"/>
  <c r="U167" i="15"/>
  <c r="AE167" i="15"/>
  <c r="Z167" i="15"/>
  <c r="V153" i="15"/>
  <c r="AF153" i="15"/>
  <c r="AA153" i="15"/>
  <c r="V169" i="15"/>
  <c r="AF169" i="15"/>
  <c r="AA169" i="15"/>
  <c r="V189" i="15"/>
  <c r="AA189" i="15"/>
  <c r="T199" i="15"/>
  <c r="Y199" i="15"/>
  <c r="AE241" i="15"/>
  <c r="T240" i="15"/>
  <c r="W158" i="15"/>
  <c r="AG158" i="15"/>
  <c r="AB158" i="15"/>
  <c r="W169" i="15"/>
  <c r="AG169" i="15"/>
  <c r="AB169" i="15"/>
  <c r="T215" i="15"/>
  <c r="Y215" i="15"/>
  <c r="V161" i="15"/>
  <c r="AF161" i="15"/>
  <c r="AA161" i="15"/>
  <c r="V166" i="15"/>
  <c r="AF166" i="15"/>
  <c r="AA166" i="15"/>
  <c r="W240" i="15"/>
  <c r="AB240" i="15"/>
  <c r="AB221" i="15"/>
  <c r="Y183" i="15"/>
  <c r="W197" i="15"/>
  <c r="AB197" i="15"/>
  <c r="V194" i="15"/>
  <c r="AA194" i="15"/>
  <c r="W166" i="15"/>
  <c r="AB166" i="15"/>
  <c r="AG166" i="15"/>
  <c r="T250" i="15"/>
  <c r="Y250" i="15"/>
  <c r="U246" i="15"/>
  <c r="Z246" i="15"/>
  <c r="W194" i="15"/>
  <c r="AB194" i="15"/>
  <c r="U159" i="15"/>
  <c r="AE159" i="15"/>
  <c r="Z159" i="15"/>
  <c r="T223" i="15"/>
  <c r="Y223" i="15"/>
  <c r="W186" i="15"/>
  <c r="AB186" i="15"/>
  <c r="U169" i="15"/>
  <c r="AE169" i="15"/>
  <c r="Z169" i="15"/>
  <c r="Z219" i="15"/>
  <c r="U226" i="15"/>
  <c r="Z226" i="15"/>
  <c r="U197" i="15"/>
  <c r="Z197" i="15"/>
  <c r="U187" i="15"/>
  <c r="Z187" i="15"/>
  <c r="U195" i="15"/>
  <c r="Z195" i="15"/>
  <c r="AD179" i="15"/>
  <c r="AG198" i="15"/>
  <c r="AE185" i="15"/>
  <c r="AE244" i="15"/>
  <c r="AG245" i="15"/>
  <c r="AF183" i="15"/>
  <c r="AG253" i="15"/>
  <c r="AD246" i="15"/>
  <c r="AD219" i="15"/>
  <c r="AE179" i="15"/>
  <c r="AE233" i="15"/>
  <c r="AF187" i="15"/>
  <c r="AE213" i="15"/>
  <c r="AE240" i="15"/>
  <c r="AD194" i="15"/>
  <c r="AG252" i="15"/>
  <c r="AD241" i="15"/>
  <c r="AG177" i="15"/>
  <c r="AE250" i="15"/>
  <c r="AE236" i="15"/>
  <c r="AE209" i="15"/>
  <c r="AF178" i="15"/>
  <c r="AF254" i="15"/>
  <c r="AF193" i="15"/>
  <c r="AE177" i="15"/>
  <c r="AF232" i="15"/>
  <c r="AE242" i="15"/>
  <c r="AF250" i="15"/>
  <c r="AE182" i="15"/>
  <c r="AG242" i="15"/>
  <c r="AG190" i="15"/>
  <c r="AD254" i="15"/>
  <c r="AE181" i="15"/>
  <c r="AG237" i="15"/>
  <c r="AD198" i="15"/>
  <c r="AF249" i="15"/>
  <c r="AD234" i="15"/>
  <c r="AG191" i="15"/>
  <c r="AD187" i="15"/>
  <c r="AG244" i="15"/>
  <c r="AG189" i="15"/>
  <c r="AG236" i="15"/>
  <c r="AF198" i="15"/>
  <c r="AF252" i="15"/>
  <c r="AE199" i="15"/>
  <c r="AG246" i="15"/>
  <c r="AE186" i="15"/>
  <c r="AD189" i="15"/>
  <c r="AG241" i="15"/>
  <c r="AE183" i="15"/>
  <c r="AD233" i="15"/>
  <c r="AD181" i="15"/>
  <c r="AE234" i="15"/>
  <c r="AE194" i="15"/>
  <c r="AD238" i="15"/>
  <c r="AD217" i="15"/>
  <c r="AE198" i="15"/>
  <c r="AF179" i="15"/>
  <c r="AE252" i="15"/>
  <c r="AD186" i="15"/>
  <c r="AD182" i="15"/>
  <c r="AE193" i="15"/>
  <c r="AG233" i="15"/>
  <c r="AG193" i="15"/>
  <c r="AG181" i="15"/>
  <c r="AF186" i="15"/>
  <c r="AE190" i="15"/>
  <c r="AD178" i="15"/>
  <c r="AG238" i="15"/>
  <c r="AG187" i="15"/>
  <c r="AD185" i="15"/>
  <c r="AF199" i="15"/>
  <c r="AE245" i="15"/>
  <c r="AF237" i="15"/>
  <c r="AF182" i="15"/>
  <c r="AD193" i="15"/>
  <c r="AE232" i="15"/>
  <c r="AF240" i="15"/>
  <c r="AE254" i="15"/>
  <c r="AF242" i="15"/>
  <c r="AD197" i="15"/>
  <c r="AG249" i="15"/>
  <c r="AG254" i="15"/>
  <c r="AG182" i="15"/>
  <c r="AE191" i="15"/>
  <c r="AD191" i="15"/>
  <c r="AG195" i="15"/>
  <c r="AF241" i="15"/>
  <c r="AD195" i="15"/>
  <c r="AG183" i="15"/>
  <c r="AG250" i="15"/>
  <c r="AE189" i="15"/>
  <c r="AD249" i="15"/>
  <c r="AF245" i="15"/>
  <c r="AE238" i="15"/>
  <c r="AE178" i="15"/>
  <c r="AD177" i="15"/>
  <c r="AG199" i="15"/>
  <c r="AF185" i="15"/>
  <c r="AF253" i="15"/>
  <c r="AF226" i="15"/>
  <c r="AF191" i="15"/>
  <c r="AG234" i="15"/>
  <c r="AG178" i="15"/>
  <c r="AG232" i="15"/>
  <c r="AG205" i="15"/>
  <c r="AE237" i="15"/>
  <c r="AF195" i="15"/>
  <c r="AF233" i="15"/>
  <c r="AF177" i="15"/>
  <c r="AD190" i="15"/>
  <c r="AF190" i="15"/>
  <c r="AG185" i="15"/>
  <c r="V209" i="15" l="1"/>
  <c r="T248" i="15"/>
  <c r="AD213" i="15"/>
  <c r="U219" i="15"/>
  <c r="W221" i="15"/>
  <c r="Y248" i="15"/>
  <c r="Y213" i="15"/>
  <c r="Y240" i="15"/>
  <c r="T253" i="15"/>
  <c r="Y253" i="15"/>
  <c r="Y237" i="15"/>
  <c r="T237" i="15"/>
  <c r="AA244" i="15"/>
  <c r="V238" i="15"/>
  <c r="AA238" i="15"/>
  <c r="AD226" i="15"/>
  <c r="T226" i="15"/>
  <c r="AA217" i="15"/>
  <c r="V217" i="15"/>
  <c r="Z253" i="15"/>
  <c r="U253" i="15"/>
  <c r="V244" i="15"/>
  <c r="T210" i="15"/>
  <c r="V219" i="15"/>
  <c r="AA211" i="15"/>
  <c r="AA219" i="15"/>
  <c r="Y210" i="15"/>
  <c r="V234" i="15"/>
  <c r="V207" i="15"/>
  <c r="AF207" i="15"/>
  <c r="T218" i="15"/>
  <c r="AD218" i="15"/>
  <c r="V211" i="15"/>
  <c r="T245" i="15"/>
  <c r="AD245" i="15"/>
  <c r="AA234" i="15"/>
  <c r="AA207" i="15"/>
  <c r="Z249" i="15"/>
  <c r="AE249" i="15"/>
  <c r="T221" i="15"/>
  <c r="AD221" i="15"/>
  <c r="Y225" i="15"/>
  <c r="AD225" i="15"/>
  <c r="AA246" i="15"/>
  <c r="AF246" i="15"/>
  <c r="W179" i="15"/>
  <c r="AG179" i="15"/>
  <c r="Y218" i="15"/>
  <c r="U249" i="15"/>
  <c r="Y245" i="15"/>
  <c r="AB179" i="15"/>
  <c r="T190" i="15"/>
  <c r="Y190" i="15"/>
  <c r="T209" i="15"/>
  <c r="Y209" i="15"/>
  <c r="U227" i="15"/>
  <c r="Z227" i="15"/>
  <c r="U252" i="15"/>
  <c r="Z252" i="15"/>
  <c r="V170" i="15"/>
  <c r="AF170" i="15"/>
  <c r="AA170" i="15"/>
  <c r="T198" i="15"/>
  <c r="Y198" i="15"/>
  <c r="U250" i="15"/>
  <c r="Z250" i="15"/>
  <c r="Y179" i="15"/>
  <c r="V167" i="15"/>
  <c r="AF167" i="15"/>
  <c r="AA167" i="15"/>
  <c r="V245" i="15"/>
  <c r="AA245" i="15"/>
  <c r="U254" i="15"/>
  <c r="Z254" i="15"/>
  <c r="T157" i="15"/>
  <c r="AD157" i="15"/>
  <c r="Y157" i="15"/>
  <c r="W206" i="15"/>
  <c r="AB206" i="15"/>
  <c r="T206" i="15"/>
  <c r="Y206" i="15"/>
  <c r="V198" i="15"/>
  <c r="AA198" i="15"/>
  <c r="V165" i="15"/>
  <c r="AF165" i="15"/>
  <c r="AA165" i="15"/>
  <c r="U179" i="15"/>
  <c r="Z179" i="15"/>
  <c r="T151" i="15"/>
  <c r="AD151" i="15"/>
  <c r="Y151" i="15"/>
  <c r="U237" i="15"/>
  <c r="Z237" i="15"/>
  <c r="W155" i="15"/>
  <c r="AB155" i="15"/>
  <c r="AG155" i="15"/>
  <c r="W187" i="15"/>
  <c r="AB187" i="15"/>
  <c r="U165" i="15"/>
  <c r="AE165" i="15"/>
  <c r="Z165" i="15"/>
  <c r="U155" i="15"/>
  <c r="AE155" i="15"/>
  <c r="Z155" i="15"/>
  <c r="W163" i="15"/>
  <c r="AG163" i="15"/>
  <c r="AB163" i="15"/>
  <c r="W237" i="15"/>
  <c r="AB237" i="15"/>
  <c r="W215" i="15"/>
  <c r="AB215" i="15"/>
  <c r="U215" i="15"/>
  <c r="Z215" i="15"/>
  <c r="V227" i="15"/>
  <c r="AA227" i="15"/>
  <c r="U217" i="15"/>
  <c r="Z217" i="15"/>
  <c r="U214" i="15"/>
  <c r="Z214" i="15"/>
  <c r="W185" i="15"/>
  <c r="AB185" i="15"/>
  <c r="V177" i="15"/>
  <c r="AA177" i="15"/>
  <c r="U210" i="15"/>
  <c r="Z210" i="15"/>
  <c r="V191" i="15"/>
  <c r="AA191" i="15"/>
  <c r="T149" i="15"/>
  <c r="AD149" i="15"/>
  <c r="T222" i="15"/>
  <c r="Y222" i="15"/>
  <c r="W183" i="15"/>
  <c r="AB183" i="15"/>
  <c r="T163" i="15"/>
  <c r="Y163" i="15"/>
  <c r="AD163" i="15"/>
  <c r="W249" i="15"/>
  <c r="AB249" i="15"/>
  <c r="V213" i="15"/>
  <c r="AA213" i="15"/>
  <c r="V210" i="15"/>
  <c r="AA210" i="15"/>
  <c r="W159" i="15"/>
  <c r="AG159" i="15"/>
  <c r="AB159" i="15"/>
  <c r="V158" i="15"/>
  <c r="AF158" i="15"/>
  <c r="AA158" i="15"/>
  <c r="U193" i="15"/>
  <c r="Z193" i="15"/>
  <c r="V179" i="15"/>
  <c r="AA179" i="15"/>
  <c r="U194" i="15"/>
  <c r="Z194" i="15"/>
  <c r="U183" i="15"/>
  <c r="Z183" i="15"/>
  <c r="W246" i="15"/>
  <c r="AB246" i="15"/>
  <c r="W236" i="15"/>
  <c r="AB236" i="15"/>
  <c r="W191" i="15"/>
  <c r="AB191" i="15"/>
  <c r="W210" i="15"/>
  <c r="AB210" i="15"/>
  <c r="W242" i="15"/>
  <c r="AB242" i="15"/>
  <c r="U242" i="15"/>
  <c r="Z242" i="15"/>
  <c r="V254" i="15"/>
  <c r="AA254" i="15"/>
  <c r="W149" i="15"/>
  <c r="AG149" i="15"/>
  <c r="U213" i="15"/>
  <c r="Z213" i="15"/>
  <c r="T246" i="15"/>
  <c r="Y246" i="15"/>
  <c r="U244" i="15"/>
  <c r="Z244" i="15"/>
  <c r="T252" i="15"/>
  <c r="Y252" i="15"/>
  <c r="U222" i="15"/>
  <c r="Z222" i="15"/>
  <c r="W207" i="15"/>
  <c r="AB207" i="15"/>
  <c r="T185" i="15"/>
  <c r="Y185" i="15"/>
  <c r="W162" i="15"/>
  <c r="AB162" i="15"/>
  <c r="AG162" i="15"/>
  <c r="W218" i="15"/>
  <c r="AB218" i="15"/>
  <c r="W171" i="15"/>
  <c r="AB171" i="15"/>
  <c r="AG171" i="15"/>
  <c r="T211" i="15"/>
  <c r="Y211" i="15"/>
  <c r="U223" i="15"/>
  <c r="Z223" i="15"/>
  <c r="V163" i="15"/>
  <c r="AF163" i="15"/>
  <c r="AA163" i="15"/>
  <c r="T191" i="15"/>
  <c r="Y191" i="15"/>
  <c r="V186" i="15"/>
  <c r="AA186" i="15"/>
  <c r="W219" i="15"/>
  <c r="AB219" i="15"/>
  <c r="V233" i="15"/>
  <c r="AA233" i="15"/>
  <c r="T197" i="15"/>
  <c r="Y197" i="15"/>
  <c r="W181" i="15"/>
  <c r="AB181" i="15"/>
  <c r="U234" i="15"/>
  <c r="Z234" i="15"/>
  <c r="W214" i="15"/>
  <c r="AB214" i="15"/>
  <c r="U199" i="15"/>
  <c r="Z199" i="15"/>
  <c r="W161" i="15"/>
  <c r="AB161" i="15"/>
  <c r="AG161" i="15"/>
  <c r="T207" i="15"/>
  <c r="Y207" i="15"/>
  <c r="U153" i="15"/>
  <c r="AE153" i="15"/>
  <c r="Z153" i="15"/>
  <c r="U182" i="15"/>
  <c r="Z182" i="15"/>
  <c r="V205" i="15"/>
  <c r="AA205" i="15"/>
  <c r="V178" i="15"/>
  <c r="AA178" i="15"/>
  <c r="T214" i="15"/>
  <c r="Y214" i="15"/>
  <c r="V159" i="15"/>
  <c r="AF159" i="15"/>
  <c r="AA159" i="15"/>
  <c r="W226" i="15"/>
  <c r="AB226" i="15"/>
  <c r="U157" i="15"/>
  <c r="AE157" i="15"/>
  <c r="Z157" i="15"/>
  <c r="W199" i="15"/>
  <c r="AB199" i="15"/>
  <c r="V182" i="15"/>
  <c r="AA182" i="15"/>
  <c r="T238" i="15"/>
  <c r="Y238" i="15"/>
  <c r="U158" i="15"/>
  <c r="AE158" i="15"/>
  <c r="Z158" i="15"/>
  <c r="V193" i="15"/>
  <c r="AA193" i="15"/>
  <c r="W195" i="15"/>
  <c r="AB195" i="15"/>
  <c r="T170" i="15"/>
  <c r="Y170" i="15"/>
  <c r="AD170" i="15"/>
  <c r="U241" i="15"/>
  <c r="Z241" i="15"/>
  <c r="Y177" i="15"/>
  <c r="V237" i="15"/>
  <c r="AA237" i="15"/>
  <c r="U166" i="15"/>
  <c r="AE166" i="15"/>
  <c r="Z166" i="15"/>
  <c r="W209" i="15"/>
  <c r="AB209" i="15"/>
  <c r="T219" i="15"/>
  <c r="Y219" i="15"/>
  <c r="V226" i="15"/>
  <c r="AA226" i="15"/>
  <c r="T195" i="15"/>
  <c r="Y195" i="15"/>
  <c r="U163" i="15"/>
  <c r="AE163" i="15"/>
  <c r="Z163" i="15"/>
  <c r="W211" i="15"/>
  <c r="AB211" i="15"/>
  <c r="V248" i="15"/>
  <c r="AA248" i="15"/>
  <c r="V253" i="15"/>
  <c r="AA253" i="15"/>
  <c r="T167" i="15"/>
  <c r="AD167" i="15"/>
  <c r="Y167" i="15"/>
  <c r="U191" i="15"/>
  <c r="Z191" i="15"/>
  <c r="T169" i="15"/>
  <c r="Y169" i="15"/>
  <c r="AD169" i="15"/>
  <c r="U232" i="15"/>
  <c r="Z232" i="15"/>
  <c r="U218" i="15"/>
  <c r="Z218" i="15"/>
  <c r="W238" i="15"/>
  <c r="AB238" i="15"/>
  <c r="W153" i="15"/>
  <c r="AG153" i="15"/>
  <c r="AB153" i="15"/>
  <c r="T154" i="15"/>
  <c r="AD154" i="15"/>
  <c r="Y154" i="15"/>
  <c r="U198" i="15"/>
  <c r="Z198" i="15"/>
  <c r="U207" i="15"/>
  <c r="Z207" i="15"/>
  <c r="W241" i="15"/>
  <c r="AB241" i="15"/>
  <c r="U171" i="15"/>
  <c r="AE171" i="15"/>
  <c r="Z171" i="15"/>
  <c r="W189" i="15"/>
  <c r="AB189" i="15"/>
  <c r="T234" i="15"/>
  <c r="Y234" i="15"/>
  <c r="U181" i="15"/>
  <c r="Z181" i="15"/>
  <c r="U154" i="15"/>
  <c r="AE154" i="15"/>
  <c r="Z154" i="15"/>
  <c r="V232" i="15"/>
  <c r="AA232" i="15"/>
  <c r="V150" i="15"/>
  <c r="AF150" i="15"/>
  <c r="AA150" i="15"/>
  <c r="T241" i="15"/>
  <c r="Y241" i="15"/>
  <c r="V187" i="15"/>
  <c r="AA187" i="15"/>
  <c r="W253" i="15"/>
  <c r="AB253" i="15"/>
  <c r="U185" i="15"/>
  <c r="Z185" i="15"/>
  <c r="V195" i="15"/>
  <c r="AA195" i="15"/>
  <c r="W167" i="15"/>
  <c r="AB167" i="15"/>
  <c r="AG167" i="15"/>
  <c r="U190" i="15"/>
  <c r="Z190" i="15"/>
  <c r="T233" i="15"/>
  <c r="Y233" i="15"/>
  <c r="T194" i="15"/>
  <c r="Y194" i="15"/>
  <c r="W227" i="15"/>
  <c r="AB227" i="15"/>
  <c r="W190" i="15"/>
  <c r="AB190" i="15"/>
  <c r="V240" i="15"/>
  <c r="AA240" i="15"/>
  <c r="U240" i="15"/>
  <c r="Z240" i="15"/>
  <c r="W205" i="15"/>
  <c r="AB205" i="15"/>
  <c r="U189" i="15"/>
  <c r="Z189" i="15"/>
  <c r="U205" i="15"/>
  <c r="Z205" i="15"/>
  <c r="Y182" i="15"/>
  <c r="U221" i="15"/>
  <c r="Z221" i="15"/>
  <c r="W182" i="15"/>
  <c r="AB182" i="15"/>
  <c r="V199" i="15"/>
  <c r="AA199" i="15"/>
  <c r="T217" i="15"/>
  <c r="Y217" i="15"/>
  <c r="T189" i="15"/>
  <c r="Y189" i="15"/>
  <c r="V252" i="15"/>
  <c r="AA252" i="15"/>
  <c r="W244" i="15"/>
  <c r="AB244" i="15"/>
  <c r="V222" i="15"/>
  <c r="AA222" i="15"/>
  <c r="T227" i="15"/>
  <c r="Y227" i="15"/>
  <c r="T205" i="15"/>
  <c r="Y205" i="15"/>
  <c r="U149" i="15"/>
  <c r="AE149" i="15"/>
  <c r="U209" i="15"/>
  <c r="Z209" i="15"/>
  <c r="W225" i="15"/>
  <c r="AB225" i="15"/>
  <c r="U233" i="15"/>
  <c r="Z233" i="15"/>
  <c r="V155" i="15"/>
  <c r="AF155" i="15"/>
  <c r="AA155" i="15"/>
  <c r="W170" i="15"/>
  <c r="AG170" i="15"/>
  <c r="AB170" i="15"/>
  <c r="V218" i="15"/>
  <c r="AA218" i="15"/>
  <c r="W254" i="15"/>
  <c r="AB254" i="15"/>
  <c r="W233" i="15"/>
  <c r="AB233" i="15"/>
  <c r="T187" i="15"/>
  <c r="Y187" i="15"/>
  <c r="V250" i="15"/>
  <c r="AA250" i="15"/>
  <c r="U151" i="15"/>
  <c r="AE151" i="15"/>
  <c r="Z151" i="15"/>
  <c r="T162" i="15"/>
  <c r="AD162" i="15"/>
  <c r="Y162" i="15"/>
  <c r="W234" i="15"/>
  <c r="AB234" i="15"/>
  <c r="T236" i="15"/>
  <c r="Y236" i="15"/>
  <c r="V154" i="15"/>
  <c r="AF154" i="15"/>
  <c r="AA154" i="15"/>
  <c r="U162" i="15"/>
  <c r="AE162" i="15"/>
  <c r="Z162" i="15"/>
  <c r="U225" i="15"/>
  <c r="Z225" i="15"/>
  <c r="U186" i="15"/>
  <c r="Z186" i="15"/>
  <c r="T159" i="15"/>
  <c r="Y159" i="15"/>
  <c r="AD159" i="15"/>
  <c r="V223" i="15"/>
  <c r="AA223" i="15"/>
  <c r="T166" i="15"/>
  <c r="AD166" i="15"/>
  <c r="Y166" i="15"/>
  <c r="W245" i="15"/>
  <c r="AB245" i="15"/>
  <c r="W157" i="15"/>
  <c r="AB157" i="15"/>
  <c r="AG157" i="15"/>
  <c r="V149" i="15"/>
  <c r="AF149" i="15"/>
  <c r="T249" i="15"/>
  <c r="Y249" i="15"/>
  <c r="W222" i="15"/>
  <c r="AB222" i="15"/>
  <c r="V151" i="15"/>
  <c r="AF151" i="15"/>
  <c r="AA151" i="15"/>
  <c r="W177" i="15"/>
  <c r="AB177" i="15"/>
  <c r="V221" i="15"/>
  <c r="AA221" i="15"/>
  <c r="U178" i="15"/>
  <c r="Z178" i="15"/>
  <c r="U245" i="15"/>
  <c r="Z245" i="15"/>
  <c r="U170" i="15"/>
  <c r="AE170" i="15"/>
  <c r="Z170" i="15"/>
  <c r="V206" i="15"/>
  <c r="AA206" i="15"/>
  <c r="W232" i="15"/>
  <c r="AB232" i="15"/>
  <c r="U150" i="15"/>
  <c r="AE150" i="15"/>
  <c r="Z150" i="15"/>
  <c r="U161" i="15"/>
  <c r="AE161" i="15"/>
  <c r="Z161" i="15"/>
  <c r="V162" i="15"/>
  <c r="AF162" i="15"/>
  <c r="AA162" i="15"/>
  <c r="W150" i="15"/>
  <c r="AB150" i="15"/>
  <c r="AG150" i="15"/>
  <c r="V185" i="15"/>
  <c r="AA185" i="15"/>
  <c r="U211" i="15"/>
  <c r="Z211" i="15"/>
  <c r="W250" i="15"/>
  <c r="AB250" i="15"/>
  <c r="V214" i="15"/>
  <c r="AA214" i="15"/>
  <c r="V215" i="15"/>
  <c r="AA215" i="15"/>
  <c r="T193" i="15"/>
  <c r="Y193" i="15"/>
  <c r="Y178" i="15"/>
  <c r="W193" i="15"/>
  <c r="AB193" i="15"/>
  <c r="T186" i="15"/>
  <c r="Y186" i="15"/>
  <c r="Y181" i="15"/>
  <c r="V190" i="15"/>
  <c r="AA190" i="15"/>
  <c r="U248" i="15"/>
  <c r="Z248" i="15"/>
  <c r="W178" i="15"/>
  <c r="AB178" i="15"/>
  <c r="V157" i="15"/>
  <c r="AF157" i="15"/>
  <c r="AA157" i="15"/>
  <c r="U238" i="15"/>
  <c r="Z238" i="15"/>
  <c r="W223" i="15"/>
  <c r="AB223" i="15"/>
  <c r="V241" i="15"/>
  <c r="AA241" i="15"/>
  <c r="W154" i="15"/>
  <c r="AG154" i="15"/>
  <c r="AB154" i="15"/>
  <c r="V242" i="15"/>
  <c r="AA242" i="15"/>
  <c r="T165" i="15"/>
  <c r="AD165" i="15"/>
  <c r="Y165" i="15"/>
  <c r="V171" i="15"/>
  <c r="AF171" i="15"/>
  <c r="AA171" i="15"/>
  <c r="T150" i="15"/>
  <c r="AD150" i="15"/>
  <c r="Y150" i="15"/>
  <c r="W165" i="15"/>
  <c r="AG165" i="15"/>
  <c r="AB165" i="15"/>
  <c r="T158" i="15"/>
  <c r="Y158" i="15"/>
  <c r="AD158" i="15"/>
  <c r="T244" i="15"/>
  <c r="Y244" i="15"/>
  <c r="T153" i="15"/>
  <c r="Y153" i="15"/>
  <c r="AD153" i="15"/>
  <c r="T161" i="15"/>
  <c r="AD161" i="15"/>
  <c r="Y161" i="15"/>
  <c r="V225" i="15"/>
  <c r="AA225" i="15"/>
  <c r="W217" i="15"/>
  <c r="AB217" i="15"/>
  <c r="V249" i="15"/>
  <c r="AA249" i="15"/>
  <c r="T254" i="15"/>
  <c r="Y254" i="15"/>
  <c r="T232" i="15"/>
  <c r="Y232" i="15"/>
  <c r="U177" i="15"/>
  <c r="Z177" i="15"/>
  <c r="U236" i="15"/>
  <c r="Z236" i="15"/>
  <c r="W252" i="15"/>
  <c r="AB252" i="15"/>
  <c r="U206" i="15"/>
  <c r="Z206" i="15"/>
  <c r="V183" i="15"/>
  <c r="AA183" i="15"/>
  <c r="W198" i="15"/>
  <c r="AB198" i="15"/>
  <c r="I59" i="15"/>
  <c r="J59" i="15"/>
  <c r="K59" i="15"/>
  <c r="I60" i="15"/>
  <c r="J60" i="15"/>
  <c r="K60" i="15"/>
  <c r="K58" i="15"/>
  <c r="J58" i="15"/>
  <c r="I58" i="15"/>
  <c r="H59" i="15"/>
  <c r="H60" i="15"/>
  <c r="H58" i="15"/>
  <c r="H37" i="15"/>
  <c r="I37" i="15"/>
  <c r="J37" i="15"/>
  <c r="H38" i="15"/>
  <c r="I38" i="15"/>
  <c r="J38" i="15"/>
  <c r="G38" i="15"/>
  <c r="G37" i="15"/>
  <c r="H36" i="15"/>
  <c r="I36" i="15"/>
  <c r="J36" i="15"/>
  <c r="G36" i="15"/>
  <c r="H33" i="15"/>
  <c r="I33" i="15"/>
  <c r="J33" i="15"/>
  <c r="H31" i="15"/>
  <c r="I31" i="15"/>
  <c r="J31" i="15"/>
  <c r="G33" i="15"/>
  <c r="G31" i="15"/>
  <c r="H43" i="15"/>
  <c r="I43" i="15"/>
  <c r="J43" i="15"/>
  <c r="G43" i="15"/>
  <c r="H41" i="15"/>
  <c r="I41" i="15"/>
  <c r="J41" i="15"/>
  <c r="G41" i="15"/>
  <c r="H42" i="15"/>
  <c r="I42" i="15"/>
  <c r="J42" i="15"/>
  <c r="G42" i="15"/>
  <c r="H32" i="15"/>
  <c r="I32" i="15"/>
  <c r="J32" i="15"/>
  <c r="G32" i="15"/>
  <c r="H28" i="15"/>
  <c r="I28" i="15"/>
  <c r="J28" i="15"/>
  <c r="G28" i="15"/>
  <c r="H29" i="15"/>
  <c r="I29" i="15"/>
  <c r="J29" i="15"/>
  <c r="G29" i="15"/>
  <c r="I27" i="15"/>
  <c r="J27" i="15"/>
  <c r="G27" i="15"/>
  <c r="H27" i="15"/>
  <c r="L122" i="13" l="1"/>
  <c r="L129" i="13"/>
  <c r="L130" i="13"/>
  <c r="L128" i="13"/>
  <c r="J13" i="13"/>
  <c r="J14" i="13" s="1"/>
  <c r="J50" i="13" s="1"/>
  <c r="K13" i="13"/>
  <c r="K14" i="13" s="1"/>
  <c r="K50" i="13" s="1"/>
  <c r="L13" i="13"/>
  <c r="L14" i="13" s="1"/>
  <c r="L50" i="13" s="1"/>
  <c r="I13" i="13"/>
  <c r="I14" i="13" s="1"/>
  <c r="I50" i="13" s="1"/>
  <c r="J8" i="13"/>
  <c r="K8" i="13"/>
  <c r="L8" i="13"/>
  <c r="J9" i="13"/>
  <c r="K9" i="13"/>
  <c r="L9" i="13"/>
  <c r="J10" i="13"/>
  <c r="K10" i="13"/>
  <c r="L10" i="13"/>
  <c r="J11" i="13"/>
  <c r="K11" i="13"/>
  <c r="L11" i="13"/>
  <c r="J12" i="13"/>
  <c r="K12" i="13"/>
  <c r="L12" i="13"/>
  <c r="I9" i="13"/>
  <c r="I10" i="13"/>
  <c r="I11" i="13"/>
  <c r="I12" i="13"/>
  <c r="I8" i="13"/>
  <c r="L131" i="13" l="1"/>
  <c r="L135" i="13"/>
  <c r="E56" i="13" l="1"/>
  <c r="P56" i="13" s="1"/>
  <c r="F56" i="13"/>
  <c r="Q56" i="13" s="1"/>
  <c r="G56" i="13"/>
  <c r="R56" i="13" s="1"/>
  <c r="D56" i="13"/>
  <c r="O56" i="13" s="1"/>
  <c r="G31" i="13"/>
  <c r="G14" i="13"/>
  <c r="E14" i="13"/>
  <c r="F14" i="13"/>
  <c r="D14" i="13"/>
  <c r="D31" i="13"/>
  <c r="F31" i="13"/>
  <c r="E31" i="13"/>
  <c r="A30" i="13"/>
  <c r="A31" i="13"/>
  <c r="A32" i="13"/>
  <c r="A33" i="13"/>
  <c r="A34" i="13"/>
  <c r="A35" i="13"/>
  <c r="A36" i="13"/>
  <c r="A37" i="13"/>
  <c r="A38" i="13"/>
  <c r="A39" i="13"/>
  <c r="A40" i="13"/>
  <c r="A41" i="13"/>
  <c r="A42" i="13"/>
  <c r="A43" i="13"/>
  <c r="A44" i="13"/>
  <c r="A45" i="13"/>
  <c r="D50" i="13" l="1"/>
  <c r="O50" i="13" s="1"/>
  <c r="O14" i="13"/>
  <c r="L31" i="13"/>
  <c r="L52" i="13" s="1"/>
  <c r="R31" i="13"/>
  <c r="J31" i="13"/>
  <c r="J52" i="13" s="1"/>
  <c r="P31" i="13"/>
  <c r="K31" i="13"/>
  <c r="Q31" i="13"/>
  <c r="I31" i="13"/>
  <c r="O31" i="13"/>
  <c r="G50" i="13"/>
  <c r="R50" i="13" s="1"/>
  <c r="R14" i="13"/>
  <c r="F50" i="13"/>
  <c r="Q50" i="13" s="1"/>
  <c r="Q14" i="13"/>
  <c r="E50" i="13"/>
  <c r="P50" i="13" s="1"/>
  <c r="P14" i="13"/>
  <c r="F57" i="13"/>
  <c r="Q57" i="13" s="1"/>
  <c r="F51" i="13"/>
  <c r="Q51" i="13" s="1"/>
  <c r="G57" i="13"/>
  <c r="R57" i="13" s="1"/>
  <c r="G51" i="13"/>
  <c r="R51" i="13" s="1"/>
  <c r="D57" i="13"/>
  <c r="O57" i="13" s="1"/>
  <c r="D51" i="13"/>
  <c r="O51" i="13" s="1"/>
  <c r="E51" i="13"/>
  <c r="P51" i="13" s="1"/>
  <c r="E57" i="13"/>
  <c r="P57" i="13" s="1"/>
  <c r="D48" i="13"/>
  <c r="I51" i="13"/>
  <c r="E48" i="13"/>
  <c r="F48" i="13"/>
  <c r="G48" i="13"/>
  <c r="F58" i="13"/>
  <c r="K52" i="13"/>
  <c r="E58" i="13"/>
  <c r="I52" i="13"/>
  <c r="D52" i="13"/>
  <c r="O52" i="13" s="1"/>
  <c r="D58" i="13"/>
  <c r="O58" i="13" s="1"/>
  <c r="G52" i="13"/>
  <c r="G58" i="13"/>
  <c r="F52" i="13"/>
  <c r="Q52" i="13" s="1"/>
  <c r="E52" i="13"/>
  <c r="P52" i="13" s="1"/>
  <c r="T57" i="9"/>
  <c r="T58" i="9"/>
  <c r="T56" i="9"/>
  <c r="E63" i="9"/>
  <c r="H63" i="9"/>
  <c r="K63" i="9"/>
  <c r="B63" i="9"/>
  <c r="E65" i="9"/>
  <c r="H65" i="9"/>
  <c r="K65" i="9"/>
  <c r="T59" i="9" s="1"/>
  <c r="B65" i="9"/>
  <c r="E64" i="9"/>
  <c r="H64" i="9"/>
  <c r="K64" i="9"/>
  <c r="B64" i="9"/>
  <c r="R70" i="13" l="1"/>
  <c r="R117" i="13" s="1"/>
  <c r="R73" i="13"/>
  <c r="R71" i="13"/>
  <c r="R72" i="13"/>
  <c r="P138" i="13"/>
  <c r="P141" i="13"/>
  <c r="P140" i="13"/>
  <c r="P139" i="13"/>
  <c r="R138" i="13"/>
  <c r="R141" i="13"/>
  <c r="R140" i="13"/>
  <c r="R139" i="13"/>
  <c r="P70" i="13"/>
  <c r="P72" i="13"/>
  <c r="P73" i="13"/>
  <c r="P120" i="13" s="1"/>
  <c r="P71" i="13"/>
  <c r="O140" i="13"/>
  <c r="O138" i="13"/>
  <c r="O139" i="13"/>
  <c r="O141" i="13"/>
  <c r="K139" i="13"/>
  <c r="O48" i="13"/>
  <c r="O73" i="13"/>
  <c r="O71" i="13"/>
  <c r="O70" i="13"/>
  <c r="O72" i="13"/>
  <c r="K119" i="13"/>
  <c r="Q71" i="13"/>
  <c r="Q118" i="13" s="1"/>
  <c r="Q73" i="13"/>
  <c r="Q72" i="13"/>
  <c r="Q70" i="13"/>
  <c r="Q117" i="13" s="1"/>
  <c r="Q140" i="13"/>
  <c r="Q141" i="13"/>
  <c r="Q138" i="13"/>
  <c r="Q139" i="13"/>
  <c r="P48" i="13"/>
  <c r="P118" i="13"/>
  <c r="P119" i="13"/>
  <c r="Q48" i="13"/>
  <c r="R48" i="13"/>
  <c r="R120" i="13"/>
  <c r="R118" i="13"/>
  <c r="R119" i="13"/>
  <c r="T61" i="9"/>
  <c r="G59" i="13"/>
  <c r="R59" i="13" s="1"/>
  <c r="R58" i="13"/>
  <c r="E59" i="13"/>
  <c r="P59" i="13" s="1"/>
  <c r="P58" i="13"/>
  <c r="G53" i="13"/>
  <c r="R52" i="13"/>
  <c r="F59" i="13"/>
  <c r="Q59" i="13" s="1"/>
  <c r="Q58" i="13"/>
  <c r="E53" i="13"/>
  <c r="D59" i="13"/>
  <c r="O59" i="13" s="1"/>
  <c r="I48" i="13"/>
  <c r="I79" i="13" s="1"/>
  <c r="D53" i="13"/>
  <c r="F53" i="13"/>
  <c r="K51" i="13"/>
  <c r="K53" i="13" s="1"/>
  <c r="K48" i="13"/>
  <c r="K79" i="13" s="1"/>
  <c r="J51" i="13"/>
  <c r="J53" i="13" s="1"/>
  <c r="J48" i="13"/>
  <c r="J79" i="13" s="1"/>
  <c r="L48" i="13"/>
  <c r="L79" i="13" s="1"/>
  <c r="L51" i="13"/>
  <c r="L53" i="13" s="1"/>
  <c r="I53" i="13"/>
  <c r="R144" i="13" l="1"/>
  <c r="R145" i="13"/>
  <c r="R149" i="13" s="1"/>
  <c r="Q144" i="13"/>
  <c r="Q152" i="13" s="1"/>
  <c r="P146" i="13"/>
  <c r="P158" i="13" s="1"/>
  <c r="P144" i="13"/>
  <c r="P152" i="13" s="1"/>
  <c r="P145" i="13"/>
  <c r="P153" i="13" s="1"/>
  <c r="R146" i="13"/>
  <c r="R158" i="13" s="1"/>
  <c r="D60" i="13"/>
  <c r="Q143" i="13"/>
  <c r="Q151" i="13" s="1"/>
  <c r="P53" i="13"/>
  <c r="E60" i="13"/>
  <c r="Q113" i="13"/>
  <c r="F64" i="13" s="1"/>
  <c r="O113" i="13"/>
  <c r="D64" i="13" s="1"/>
  <c r="L139" i="13"/>
  <c r="E79" i="13"/>
  <c r="P114" i="13"/>
  <c r="E65" i="13" s="1"/>
  <c r="J115" i="13"/>
  <c r="J91" i="13"/>
  <c r="J113" i="13"/>
  <c r="J116" i="13"/>
  <c r="J111" i="13"/>
  <c r="J97" i="13"/>
  <c r="J114" i="13"/>
  <c r="F79" i="13"/>
  <c r="Q114" i="13"/>
  <c r="F65" i="13" s="1"/>
  <c r="D81" i="13"/>
  <c r="O111" i="13"/>
  <c r="D62" i="13" s="1"/>
  <c r="P113" i="13"/>
  <c r="E64" i="13" s="1"/>
  <c r="Q112" i="13"/>
  <c r="F63" i="13" s="1"/>
  <c r="O112" i="13"/>
  <c r="D63" i="13" s="1"/>
  <c r="L119" i="13"/>
  <c r="E81" i="13"/>
  <c r="P111" i="13"/>
  <c r="E62" i="13" s="1"/>
  <c r="O118" i="13"/>
  <c r="D79" i="13"/>
  <c r="O114" i="13"/>
  <c r="D65" i="13" s="1"/>
  <c r="A70" i="13" s="1"/>
  <c r="R143" i="13"/>
  <c r="R151" i="13" s="1"/>
  <c r="K115" i="13"/>
  <c r="K91" i="13"/>
  <c r="K113" i="13"/>
  <c r="K116" i="13"/>
  <c r="K111" i="13"/>
  <c r="K97" i="13"/>
  <c r="K114" i="13"/>
  <c r="F60" i="13"/>
  <c r="R53" i="13"/>
  <c r="G60" i="13"/>
  <c r="O119" i="13"/>
  <c r="R113" i="13"/>
  <c r="G64" i="13" s="1"/>
  <c r="I116" i="13"/>
  <c r="I113" i="13"/>
  <c r="I97" i="13"/>
  <c r="I111" i="13"/>
  <c r="I115" i="13"/>
  <c r="I91" i="13"/>
  <c r="I114" i="13"/>
  <c r="I96" i="13"/>
  <c r="I95" i="13"/>
  <c r="I94" i="13"/>
  <c r="O120" i="13"/>
  <c r="R112" i="13"/>
  <c r="G63" i="13" s="1"/>
  <c r="L115" i="13"/>
  <c r="L91" i="13"/>
  <c r="L113" i="13"/>
  <c r="L116" i="13"/>
  <c r="L114" i="13"/>
  <c r="L111" i="13"/>
  <c r="L97" i="13"/>
  <c r="Q120" i="13"/>
  <c r="Q146" i="13" s="1"/>
  <c r="Q158" i="13" s="1"/>
  <c r="P117" i="13"/>
  <c r="G79" i="13"/>
  <c r="R114" i="13"/>
  <c r="G65" i="13" s="1"/>
  <c r="Q119" i="13"/>
  <c r="Q145" i="13" s="1"/>
  <c r="Q157" i="13" s="1"/>
  <c r="F81" i="13"/>
  <c r="Q111" i="13"/>
  <c r="F62" i="13" s="1"/>
  <c r="O117" i="13"/>
  <c r="P112" i="13"/>
  <c r="E63" i="13" s="1"/>
  <c r="R111" i="13"/>
  <c r="G62" i="13" s="1"/>
  <c r="R152" i="13"/>
  <c r="R156" i="13"/>
  <c r="Q156" i="13"/>
  <c r="K95" i="13"/>
  <c r="K94" i="13"/>
  <c r="K96" i="13"/>
  <c r="J94" i="13"/>
  <c r="J95" i="13"/>
  <c r="J96" i="13"/>
  <c r="L94" i="13"/>
  <c r="L96" i="13"/>
  <c r="L95" i="13"/>
  <c r="R148" i="13"/>
  <c r="R60" i="13"/>
  <c r="Q148" i="13"/>
  <c r="L108" i="13"/>
  <c r="L110" i="13"/>
  <c r="L109" i="13"/>
  <c r="K110" i="13"/>
  <c r="K109" i="13"/>
  <c r="K117" i="13" s="1"/>
  <c r="K108" i="13"/>
  <c r="P60" i="13"/>
  <c r="J108" i="13"/>
  <c r="J109" i="13"/>
  <c r="J117" i="13" s="1"/>
  <c r="J110" i="13"/>
  <c r="I108" i="13"/>
  <c r="I109" i="13"/>
  <c r="I110" i="13"/>
  <c r="J89" i="13"/>
  <c r="J88" i="13"/>
  <c r="J90" i="13"/>
  <c r="L89" i="13"/>
  <c r="L98" i="13" s="1"/>
  <c r="L90" i="13"/>
  <c r="L88" i="13"/>
  <c r="K89" i="13"/>
  <c r="K88" i="13"/>
  <c r="K90" i="13"/>
  <c r="I88" i="13"/>
  <c r="I89" i="13"/>
  <c r="I98" i="13" s="1"/>
  <c r="I90" i="13"/>
  <c r="Q53" i="13"/>
  <c r="Q60" i="13" s="1"/>
  <c r="O53" i="13"/>
  <c r="O60" i="13" s="1"/>
  <c r="C52" i="7"/>
  <c r="D52" i="7"/>
  <c r="E52" i="7"/>
  <c r="F52" i="7"/>
  <c r="P156" i="13" l="1"/>
  <c r="P154" i="13"/>
  <c r="P157" i="13"/>
  <c r="P149" i="13"/>
  <c r="R154" i="13"/>
  <c r="Q161" i="13"/>
  <c r="R153" i="13"/>
  <c r="R157" i="13"/>
  <c r="R150" i="13"/>
  <c r="Q153" i="13"/>
  <c r="P148" i="13"/>
  <c r="P161" i="13" s="1"/>
  <c r="P150" i="13"/>
  <c r="P163" i="13" s="1"/>
  <c r="R147" i="13"/>
  <c r="Q154" i="13"/>
  <c r="Q150" i="13"/>
  <c r="Q155" i="13"/>
  <c r="R161" i="13"/>
  <c r="Q149" i="13"/>
  <c r="R155" i="13"/>
  <c r="A71" i="13"/>
  <c r="P143" i="13"/>
  <c r="P147" i="13" s="1"/>
  <c r="O145" i="13"/>
  <c r="O149" i="13" s="1"/>
  <c r="O144" i="13"/>
  <c r="O148" i="13" s="1"/>
  <c r="J98" i="13"/>
  <c r="O143" i="13"/>
  <c r="O147" i="13" s="1"/>
  <c r="I117" i="13"/>
  <c r="O146" i="13"/>
  <c r="O150" i="13" s="1"/>
  <c r="K98" i="13"/>
  <c r="L117" i="13"/>
  <c r="Q147" i="13"/>
  <c r="G22" i="7"/>
  <c r="B39" i="7" s="1"/>
  <c r="G23" i="7"/>
  <c r="B40" i="7" s="1"/>
  <c r="G24" i="7"/>
  <c r="B41" i="7" s="1"/>
  <c r="G25" i="7"/>
  <c r="B42" i="7" s="1"/>
  <c r="G26" i="7"/>
  <c r="B43" i="7" s="1"/>
  <c r="G27" i="7"/>
  <c r="B44" i="7" s="1"/>
  <c r="G21" i="7"/>
  <c r="B38" i="7" s="1"/>
  <c r="R162" i="13" l="1"/>
  <c r="P162" i="13"/>
  <c r="Q162" i="13"/>
  <c r="R163" i="13"/>
  <c r="R160" i="13"/>
  <c r="Q163" i="13"/>
  <c r="Q160" i="13"/>
  <c r="O152" i="13"/>
  <c r="L144" i="13"/>
  <c r="O156" i="13"/>
  <c r="O154" i="13"/>
  <c r="L146" i="13"/>
  <c r="O158" i="13"/>
  <c r="O153" i="13"/>
  <c r="L145" i="13"/>
  <c r="O157" i="13"/>
  <c r="O151" i="13"/>
  <c r="O155" i="13"/>
  <c r="P151" i="13"/>
  <c r="P155" i="13"/>
  <c r="G29" i="7"/>
  <c r="C32" i="6"/>
  <c r="D32" i="6"/>
  <c r="B32" i="6"/>
  <c r="K14" i="2"/>
  <c r="L14" i="2"/>
  <c r="J14" i="2"/>
  <c r="D20" i="9"/>
  <c r="F20" i="9" s="1"/>
  <c r="D22" i="9"/>
  <c r="D23" i="9" s="1"/>
  <c r="D24" i="9" s="1"/>
  <c r="O162" i="13" l="1"/>
  <c r="O163" i="13"/>
  <c r="O161" i="13"/>
  <c r="O160" i="13"/>
  <c r="P160" i="13"/>
  <c r="F24" i="9"/>
  <c r="F79" i="9" l="1"/>
  <c r="E78" i="9"/>
  <c r="D78" i="9"/>
  <c r="C78" i="9"/>
  <c r="B78" i="9"/>
  <c r="E77" i="9"/>
  <c r="D77" i="9"/>
  <c r="C77" i="9"/>
  <c r="B77" i="9"/>
  <c r="E76" i="9"/>
  <c r="D76" i="9"/>
  <c r="C76" i="9"/>
  <c r="B76" i="9"/>
  <c r="E75" i="9"/>
  <c r="D75" i="9"/>
  <c r="C75" i="9"/>
  <c r="B75" i="9"/>
  <c r="E74" i="9"/>
  <c r="D74" i="9"/>
  <c r="C74" i="9"/>
  <c r="B74" i="9"/>
  <c r="E73" i="9"/>
  <c r="D73" i="9"/>
  <c r="C73" i="9"/>
  <c r="B73" i="9"/>
  <c r="E72" i="9"/>
  <c r="D72" i="9"/>
  <c r="C72" i="9"/>
  <c r="B72" i="9"/>
  <c r="K62" i="9"/>
  <c r="H62" i="9"/>
  <c r="E62" i="9"/>
  <c r="B62" i="9"/>
  <c r="K61" i="9"/>
  <c r="H61" i="9"/>
  <c r="E61" i="9"/>
  <c r="B61" i="9"/>
  <c r="P59" i="9"/>
  <c r="R60" i="9" s="1"/>
  <c r="I45" i="5"/>
  <c r="H37" i="5"/>
  <c r="H38" i="5"/>
  <c r="H39" i="5"/>
  <c r="H40" i="5"/>
  <c r="H41" i="5"/>
  <c r="H42" i="5"/>
  <c r="H36" i="5"/>
  <c r="E30" i="7"/>
  <c r="D30" i="7"/>
  <c r="C30" i="7"/>
  <c r="B30" i="7"/>
  <c r="E29" i="7"/>
  <c r="D29" i="7"/>
  <c r="C29" i="7"/>
  <c r="B29" i="7"/>
  <c r="F9" i="2"/>
  <c r="E9" i="2"/>
  <c r="E80" i="9" l="1"/>
  <c r="E81" i="9" s="1"/>
  <c r="D42" i="9" s="1"/>
  <c r="B80" i="9"/>
  <c r="B81" i="9" s="1"/>
  <c r="D80" i="9"/>
  <c r="D81" i="9" s="1"/>
  <c r="C80" i="9"/>
  <c r="C81" i="9" s="1"/>
  <c r="M26" i="5"/>
  <c r="G81" i="9" l="1"/>
  <c r="L81" i="9" s="1"/>
  <c r="D40" i="9"/>
  <c r="B40" i="9"/>
  <c r="B42" i="9"/>
  <c r="B46" i="7"/>
  <c r="C42" i="9" l="1"/>
  <c r="C40" i="9"/>
  <c r="L42" i="5"/>
  <c r="P46" i="1"/>
  <c r="L56" i="1" l="1"/>
  <c r="E12" i="2" l="1"/>
  <c r="E10" i="2"/>
  <c r="F10" i="2"/>
  <c r="C20" i="2"/>
  <c r="E13" i="2"/>
  <c r="F13" i="2"/>
  <c r="F12" i="2"/>
  <c r="E11" i="2"/>
  <c r="F11" i="2"/>
  <c r="C19" i="2"/>
  <c r="H18" i="2"/>
  <c r="H65" i="4" l="1"/>
  <c r="H66" i="4"/>
  <c r="H67" i="4"/>
  <c r="H64" i="4"/>
  <c r="H59" i="4"/>
  <c r="L277" i="4"/>
  <c r="K277" i="4"/>
  <c r="H277" i="4"/>
  <c r="G277" i="4"/>
  <c r="E277" i="4"/>
  <c r="D277" i="4"/>
  <c r="C277" i="4"/>
  <c r="B277" i="4"/>
  <c r="F68" i="1"/>
  <c r="D54" i="5"/>
  <c r="C54" i="5"/>
  <c r="C55" i="5"/>
  <c r="C57" i="5"/>
  <c r="K37" i="5"/>
  <c r="H54" i="5" s="1"/>
  <c r="K38" i="5"/>
  <c r="H55" i="5" s="1"/>
  <c r="K39" i="5"/>
  <c r="G56" i="5" s="1"/>
  <c r="K40" i="5"/>
  <c r="D57" i="5" s="1"/>
  <c r="K41" i="5"/>
  <c r="L41" i="5" s="1"/>
  <c r="K42" i="5"/>
  <c r="B59" i="5" s="1"/>
  <c r="K36" i="5"/>
  <c r="H53" i="5" s="1"/>
  <c r="C45" i="5"/>
  <c r="D45" i="5"/>
  <c r="C44" i="5"/>
  <c r="D44" i="5"/>
  <c r="B44" i="5"/>
  <c r="E44" i="5"/>
  <c r="D56" i="5" l="1"/>
  <c r="F57" i="5"/>
  <c r="B58" i="5"/>
  <c r="F55" i="5"/>
  <c r="B55" i="5"/>
  <c r="G55" i="5"/>
  <c r="B57" i="5"/>
  <c r="C56" i="5"/>
  <c r="D55" i="5"/>
  <c r="E58" i="5"/>
  <c r="F56" i="5"/>
  <c r="G54" i="5"/>
  <c r="B56" i="5"/>
  <c r="E57" i="5"/>
  <c r="H59" i="5"/>
  <c r="E56" i="5"/>
  <c r="F54" i="5"/>
  <c r="H58" i="5"/>
  <c r="B54" i="5"/>
  <c r="D53" i="5"/>
  <c r="E53" i="5"/>
  <c r="E55" i="5"/>
  <c r="G59" i="5"/>
  <c r="H57" i="5"/>
  <c r="C53" i="5"/>
  <c r="D59" i="5"/>
  <c r="F53" i="5"/>
  <c r="E54" i="5"/>
  <c r="G58" i="5"/>
  <c r="H56" i="5"/>
  <c r="B53" i="5"/>
  <c r="C59" i="5"/>
  <c r="D58" i="5"/>
  <c r="G53" i="5"/>
  <c r="F59" i="5"/>
  <c r="G57" i="5"/>
  <c r="E59" i="5"/>
  <c r="C58" i="5"/>
  <c r="F58" i="5"/>
  <c r="K44" i="5"/>
  <c r="P31" i="5"/>
  <c r="P30" i="5"/>
  <c r="P29" i="5"/>
  <c r="P28" i="5"/>
  <c r="P27" i="5"/>
  <c r="O31" i="5"/>
  <c r="O30" i="5"/>
  <c r="O29" i="5"/>
  <c r="O28" i="5"/>
  <c r="O27" i="5"/>
  <c r="N31" i="5"/>
  <c r="N30" i="5"/>
  <c r="N29" i="5"/>
  <c r="N28" i="5"/>
  <c r="N27" i="5"/>
  <c r="M28" i="5"/>
  <c r="M29" i="5"/>
  <c r="M30" i="5"/>
  <c r="L31" i="5"/>
  <c r="L30" i="5"/>
  <c r="L29" i="5"/>
  <c r="P26" i="5"/>
  <c r="O26" i="5"/>
  <c r="N26" i="5"/>
  <c r="M31" i="5"/>
  <c r="M27" i="5"/>
  <c r="L28" i="5"/>
  <c r="L27" i="5"/>
  <c r="L26" i="5"/>
  <c r="I37" i="5"/>
  <c r="I38" i="5"/>
  <c r="I39" i="5"/>
  <c r="I40" i="5"/>
  <c r="I41" i="5"/>
  <c r="I42" i="5"/>
  <c r="I36" i="5"/>
  <c r="E45" i="5"/>
  <c r="B45" i="5"/>
  <c r="N13" i="5"/>
  <c r="N42" i="5"/>
  <c r="E62" i="1"/>
  <c r="E63" i="1"/>
  <c r="E64" i="1"/>
  <c r="E65" i="1"/>
  <c r="E66" i="1"/>
  <c r="E67" i="1"/>
  <c r="E61" i="1"/>
  <c r="D62" i="1"/>
  <c r="D63" i="1"/>
  <c r="D64" i="1"/>
  <c r="D65" i="1"/>
  <c r="D66" i="1"/>
  <c r="D67" i="1"/>
  <c r="D61" i="1"/>
  <c r="C62" i="1"/>
  <c r="C63" i="1"/>
  <c r="C64" i="1"/>
  <c r="C65" i="1"/>
  <c r="C66" i="1"/>
  <c r="C67" i="1"/>
  <c r="C61" i="1"/>
  <c r="B62" i="1"/>
  <c r="B63" i="1"/>
  <c r="B64" i="1"/>
  <c r="B65" i="1"/>
  <c r="B66" i="1"/>
  <c r="B67" i="1"/>
  <c r="B61" i="1"/>
  <c r="E48" i="1"/>
  <c r="E49" i="1"/>
  <c r="B49" i="1"/>
  <c r="B48" i="1"/>
  <c r="K49" i="1"/>
  <c r="K48" i="1"/>
  <c r="H48" i="1"/>
  <c r="H49" i="1"/>
  <c r="B15" i="1"/>
  <c r="B16" i="1" s="1"/>
  <c r="B17" i="1" s="1"/>
  <c r="B18" i="1" s="1"/>
  <c r="B19" i="1" s="1"/>
  <c r="D19" i="1" s="1"/>
  <c r="G61" i="5" l="1"/>
  <c r="Q27" i="5"/>
  <c r="Q31" i="5"/>
  <c r="H61" i="5"/>
  <c r="Q30" i="5"/>
  <c r="Q28" i="5"/>
  <c r="E61" i="5"/>
  <c r="D61" i="5"/>
  <c r="F61" i="5"/>
  <c r="D69" i="1"/>
  <c r="D70" i="1" s="1"/>
  <c r="Q26" i="5"/>
  <c r="K49" i="5" s="1"/>
  <c r="Q29" i="5"/>
  <c r="C69" i="1"/>
  <c r="C70" i="1" s="1"/>
  <c r="B69" i="1"/>
  <c r="B70" i="1" s="1"/>
  <c r="E69" i="1"/>
  <c r="E70" i="1" s="1"/>
  <c r="H19" i="1"/>
  <c r="G19" i="1"/>
  <c r="C19" i="1"/>
  <c r="F19" i="1"/>
  <c r="I19" i="1"/>
  <c r="H44" i="5"/>
  <c r="I44" i="5"/>
  <c r="H49" i="5"/>
  <c r="G70" i="1" l="1"/>
  <c r="L70" i="1" s="1"/>
  <c r="C61" i="5"/>
  <c r="B6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17349</author>
  </authors>
  <commentList>
    <comment ref="N70" authorId="0" shapeId="0" xr:uid="{9EC01594-E40F-495C-99C1-512444965DA8}">
      <text>
        <r>
          <rPr>
            <b/>
            <sz val="9"/>
            <color indexed="81"/>
            <rFont val="Tahoma"/>
            <family val="2"/>
          </rPr>
          <t>17349:</t>
        </r>
        <r>
          <rPr>
            <sz val="9"/>
            <color indexed="81"/>
            <rFont val="Tahoma"/>
            <family val="2"/>
          </rPr>
          <t xml:space="preserve">
surface release mitigation is due to tubing ID restriction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17349</author>
  </authors>
  <commentList>
    <comment ref="N70" authorId="0" shapeId="0" xr:uid="{E4370426-8C9D-41A2-8239-509EC6E180E3}">
      <text>
        <r>
          <rPr>
            <b/>
            <sz val="9"/>
            <color indexed="81"/>
            <rFont val="Tahoma"/>
            <family val="2"/>
          </rPr>
          <t>17349:</t>
        </r>
        <r>
          <rPr>
            <sz val="9"/>
            <color indexed="81"/>
            <rFont val="Tahoma"/>
            <family val="2"/>
          </rPr>
          <t xml:space="preserve">
surface release mitigation is due to tubing ID restriction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17349</author>
  </authors>
  <commentList>
    <comment ref="N70" authorId="0" shapeId="0" xr:uid="{01B7DBD8-EF58-46AE-8012-1DC62D53C48A}">
      <text>
        <r>
          <rPr>
            <b/>
            <sz val="9"/>
            <color indexed="81"/>
            <rFont val="Tahoma"/>
            <family val="2"/>
          </rPr>
          <t>17349:</t>
        </r>
        <r>
          <rPr>
            <sz val="9"/>
            <color indexed="81"/>
            <rFont val="Tahoma"/>
            <family val="2"/>
          </rPr>
          <t xml:space="preserve">
surface release mitigation is due to tubing ID restriction</t>
        </r>
      </text>
    </comment>
  </commentList>
</comments>
</file>

<file path=xl/sharedStrings.xml><?xml version="1.0" encoding="utf-8"?>
<sst xmlns="http://schemas.openxmlformats.org/spreadsheetml/2006/main" count="3368" uniqueCount="1086">
  <si>
    <t>Safety</t>
  </si>
  <si>
    <t xml:space="preserve">VSL2012+N   =  VSL2012  x  1.0107N  </t>
  </si>
  <si>
    <t>where VSL2012+N  is the VSL value N years after 2012</t>
  </si>
  <si>
    <t>and VSL2012 is the VSL value in 2012 (i.e., $9.1 million).”</t>
  </si>
  <si>
    <t>Fatal</t>
  </si>
  <si>
    <t>Critical</t>
  </si>
  <si>
    <t>Severe</t>
  </si>
  <si>
    <t>Serious</t>
  </si>
  <si>
    <t>Moderate</t>
  </si>
  <si>
    <t>Minor</t>
  </si>
  <si>
    <t>Insignif</t>
  </si>
  <si>
    <t>Thousands of Dollars VSL equivalent</t>
  </si>
  <si>
    <t>Year</t>
  </si>
  <si>
    <t>Factor</t>
  </si>
  <si>
    <t>COF Safety Surface Release:</t>
  </si>
  <si>
    <t>AOF</t>
  </si>
  <si>
    <t>Heat Impact Radius</t>
  </si>
  <si>
    <t>tiers (ft), as applicable</t>
  </si>
  <si>
    <t>&gt;2640</t>
  </si>
  <si>
    <t>determine potential human population within applicable distance</t>
  </si>
  <si>
    <t>Note - add to table below a category less than minor - for insignificant</t>
  </si>
  <si>
    <t>consequence:</t>
  </si>
  <si>
    <t>"applicable distance" depends on AOF and heat impact radius</t>
  </si>
  <si>
    <t>heat impact radius is the 1% lethality in 30 seconds:  heat flux of 5000 BTU/hr-ft2</t>
  </si>
  <si>
    <t>if heat impact radius exceeds a tier threshold radius, count all potential persons within next tier threshold distance</t>
  </si>
  <si>
    <t>number of persons potentially within heat impact radius tier</t>
  </si>
  <si>
    <t>consequence potential range, high-low</t>
  </si>
  <si>
    <t>based on rates of fatalities-injuries-non-injuries in traffice accidents and pipeline incidents</t>
  </si>
  <si>
    <t>insignif</t>
  </si>
  <si>
    <t>mid (pipeline incidents avg)</t>
  </si>
  <si>
    <t>v. low (traffic accidents)</t>
  </si>
  <si>
    <t>low (pipe incidents</t>
  </si>
  <si>
    <t>avg lowest 5 yrs)</t>
  </si>
  <si>
    <t>avg of max five years)</t>
  </si>
  <si>
    <t xml:space="preserve">max (pipeline incidents </t>
  </si>
  <si>
    <t>per person VSL-basis</t>
  </si>
  <si>
    <t xml:space="preserve"> 2017, millions USD</t>
  </si>
  <si>
    <t>multiply number of people potentially inside a threshold radius zone based on well AOF at MOP by the hi-med-low VSL basis and frequencies</t>
  </si>
  <si>
    <t>Sum the values to get impact.</t>
  </si>
  <si>
    <t xml:space="preserve">Examples:  </t>
  </si>
  <si>
    <t>One person inside heat impact radius</t>
  </si>
  <si>
    <t>One person:</t>
  </si>
  <si>
    <t>v low</t>
  </si>
  <si>
    <t>low</t>
  </si>
  <si>
    <t>mid</t>
  </si>
  <si>
    <t>max</t>
  </si>
  <si>
    <t>Sum</t>
  </si>
  <si>
    <t>10*</t>
  </si>
  <si>
    <t>low occurs 24% of the time</t>
  </si>
  <si>
    <t>max occurs 23% of the time</t>
  </si>
  <si>
    <t>v low occurs 3% of the time</t>
  </si>
  <si>
    <t>mid occurs 50% of the time</t>
  </si>
  <si>
    <t>wtd</t>
  </si>
  <si>
    <t>For ten persons, multiply the above by 10 to get a weighted consequence equivalence of $65 million</t>
  </si>
  <si>
    <t>million</t>
  </si>
  <si>
    <t>minimum one worker per week 50 weeks per year, 20 min per visit</t>
  </si>
  <si>
    <t>Zero people, safety risk given surface fire = 0.002 times output below for one person</t>
  </si>
  <si>
    <t>equivalent dollars</t>
  </si>
  <si>
    <t>·         Ground level and Above Ground Level</t>
  </si>
  <si>
    <t>o   GHG Emissions</t>
  </si>
  <si>
    <t>o   Odorant</t>
  </si>
  <si>
    <t>o   Free Liquids</t>
  </si>
  <si>
    <t>o   Endangered Species</t>
  </si>
  <si>
    <t>o   Distance to populations and Surface Water</t>
  </si>
  <si>
    <t>·         Below Ground Level</t>
  </si>
  <si>
    <t>o   Methane migration</t>
  </si>
  <si>
    <t>o   Reservoir fluids other than methane</t>
  </si>
  <si>
    <t>o   USDW and USFW zones</t>
  </si>
  <si>
    <t>Safety - Subsurface Release</t>
  </si>
  <si>
    <t>COF Safety - SubSurface Release:</t>
  </si>
  <si>
    <t>30-day volume</t>
  </si>
  <si>
    <t>radius of impact</t>
  </si>
  <si>
    <t>tiers (miles)</t>
  </si>
  <si>
    <t>probability of impact</t>
  </si>
  <si>
    <t>total</t>
  </si>
  <si>
    <t>determine potential human population within each tier</t>
  </si>
  <si>
    <t>simplify using county, town, or township population density per sq mile</t>
  </si>
  <si>
    <t>mmcf</t>
  </si>
  <si>
    <t>10-100</t>
  </si>
  <si>
    <t>&lt;1</t>
  </si>
  <si>
    <t xml:space="preserve">1-10               </t>
  </si>
  <si>
    <t>100-1000</t>
  </si>
  <si>
    <t>volume index</t>
  </si>
  <si>
    <t>population density</t>
  </si>
  <si>
    <t>per sq mi</t>
  </si>
  <si>
    <t xml:space="preserve">10-100 </t>
  </si>
  <si>
    <t xml:space="preserve">100-1000 </t>
  </si>
  <si>
    <t xml:space="preserve">1000-10,000 </t>
  </si>
  <si>
    <t xml:space="preserve">&gt;10,000 </t>
  </si>
  <si>
    <t>1000-10,000</t>
  </si>
  <si>
    <t>&gt;10,000</t>
  </si>
  <si>
    <t>1-10</t>
  </si>
  <si>
    <t>population index</t>
  </si>
  <si>
    <t>consequence = volume index * population index *safety consequence severity-probability</t>
  </si>
  <si>
    <t>hi</t>
  </si>
  <si>
    <t>lo$</t>
  </si>
  <si>
    <t>hi$</t>
  </si>
  <si>
    <t>sum</t>
  </si>
  <si>
    <t>population density * radius</t>
  </si>
  <si>
    <t>r=1</t>
  </si>
  <si>
    <t>r=2</t>
  </si>
  <si>
    <t>max people</t>
  </si>
  <si>
    <t>r=3</t>
  </si>
  <si>
    <t>r=6</t>
  </si>
  <si>
    <t>r=9</t>
  </si>
  <si>
    <t xml:space="preserve">0.1-1 </t>
  </si>
  <si>
    <t>initial</t>
  </si>
  <si>
    <t xml:space="preserve">min value is </t>
  </si>
  <si>
    <t xml:space="preserve">max value of (volume index * population index) is </t>
  </si>
  <si>
    <t>wells</t>
  </si>
  <si>
    <t>.23 in larger area</t>
  </si>
  <si>
    <t>typical:  level 4-5 30-day volume and 10-100 people per sq mile = factor of 216-270</t>
  </si>
  <si>
    <t>distribution</t>
  </si>
  <si>
    <t xml:space="preserve">vol index </t>
  </si>
  <si>
    <t>pop index</t>
  </si>
  <si>
    <t>Equivalence of over $50B to $4B to several hundred $million to several tens of $millions to single millions or much less</t>
  </si>
  <si>
    <t>consequence equivalence per person</t>
  </si>
  <si>
    <t>7 tiers</t>
  </si>
  <si>
    <t>duration</t>
  </si>
  <si>
    <t>haz level/toxicity</t>
  </si>
  <si>
    <t>location</t>
  </si>
  <si>
    <t>area</t>
  </si>
  <si>
    <t>Soil, Soil productivity and Vegetation</t>
  </si>
  <si>
    <t>Water Quality and Quantity</t>
  </si>
  <si>
    <t>Aquatic life, Wildlife and their Habitat</t>
  </si>
  <si>
    <t>includes species at risk and species of special status and their related habitat</t>
  </si>
  <si>
    <t>includes wetlands</t>
  </si>
  <si>
    <t>Air Emissions</t>
  </si>
  <si>
    <t>Greenhouse Gas Emissions</t>
  </si>
  <si>
    <t>importance to local human populations</t>
  </si>
  <si>
    <t>reflect the approach and methodology outlined in the NEB Filing Manual (National Energy Board (NEB), 2016)</t>
  </si>
  <si>
    <t>assessment of environmental effects with potential to occur</t>
  </si>
  <si>
    <t>adopted by more than 100 countries (United States Environmental Protection Agency (USEPA), 2011)</t>
  </si>
  <si>
    <t>involves, but is not limited to, the following steps:</t>
  </si>
  <si>
    <t>determining the environmental valued components (VEC)</t>
  </si>
  <si>
    <t>identifying potential project-environment interactions</t>
  </si>
  <si>
    <t>determining temporal and spatial extent of interaction between a project and the VECs</t>
  </si>
  <si>
    <t>determination of the significance of those effects</t>
  </si>
  <si>
    <t>Valued Environmental Component</t>
  </si>
  <si>
    <t>Key Indicators</t>
  </si>
  <si>
    <t>Examples</t>
  </si>
  <si>
    <t>Rationale</t>
  </si>
  <si>
    <t>Soil, Soil Productivity and Vegetation</t>
  </si>
  <si>
    <t>Terrain Stability</t>
  </si>
  <si>
    <t>*Soil erosion</t>
  </si>
  <si>
    <t>*Changes in drainage characteristics in areas with potentially unstable terrain</t>
  </si>
  <si>
    <t>*May result in mass movements or landslides which could damage infrastructure or natural resources</t>
  </si>
  <si>
    <t>Soil Quality</t>
  </si>
  <si>
    <t>*Changes in aerial extent of productive soil</t>
  </si>
  <si>
    <t>*Changes in soil quality</t>
  </si>
  <si>
    <t>*Regulatory requirement to protect prime agricultural areas for long-term use for agriculture</t>
  </si>
  <si>
    <t>*Ecosystem conservation concerns</t>
  </si>
  <si>
    <t>*Importance of soil productivity in maintaining agricultural and forest capability.</t>
  </si>
  <si>
    <t>Vegetation</t>
  </si>
  <si>
    <t>*Introduction or increase of prohibited noxious or noxious weed species</t>
  </si>
  <si>
    <t>*Changes in area of suitable habitat or known occurrences of Listed Plant Species</t>
  </si>
  <si>
    <t>*Changes in area of vegetation in listed ecological communities</t>
  </si>
  <si>
    <t>*Changes in area or native species composition of terrestrial vegetation community type</t>
  </si>
  <si>
    <t>*Changes in areas of Old Growth Management (OGMAs)</t>
  </si>
  <si>
    <t>*Changes in area available of timber to harvest</t>
  </si>
  <si>
    <t>*Potential implications to wildlife habitat potential, species and community-level biodiversity *Potential increase in non-native species during re-vegetation</t>
  </si>
  <si>
    <t xml:space="preserve">*Use of plants for traditional purposes. </t>
  </si>
  <si>
    <t>*Regulatory requirement to control noxious weeds and eliminate prohibited noxious weeds</t>
  </si>
  <si>
    <t>*Potential adverse effect on federally listed plant species (regulatory requirement)</t>
  </si>
  <si>
    <t>*potential conflict with merchantable timber and local Forest Management Agreement (FMA) holder</t>
  </si>
  <si>
    <t>Contamination</t>
  </si>
  <si>
    <t>*contamination of soil associated with on-going and/or historical operational activities</t>
  </si>
  <si>
    <t>*Disturbance that exposes potential acid generating bedrock</t>
  </si>
  <si>
    <t>*Potential implications to human health, vegetation, soil productivity, wildlife and their habitat</t>
  </si>
  <si>
    <t>*Exposure of acid generating bedrock can lead to generation of acidic drainage and leaching of metals in watercourse/sensitive ecosystems</t>
  </si>
  <si>
    <t>Hydrology (Groundwater and Surface Water)</t>
  </si>
  <si>
    <t>*changes in natural flow patterns</t>
  </si>
  <si>
    <t>*changes to lateral and vertical stability</t>
  </si>
  <si>
    <t>*changes to flow rate</t>
  </si>
  <si>
    <t>*alteration may cause erosion and instability</t>
  </si>
  <si>
    <t>*maintain natural drainage patterns</t>
  </si>
  <si>
    <t>*consideration of regional users, and aquatic life</t>
  </si>
  <si>
    <t>Water Quality (Groundwater and Surface Water)</t>
  </si>
  <si>
    <t>*changes in water quality</t>
  </si>
  <si>
    <t>*contamination  associated with on-going and/or historical operational activities</t>
  </si>
  <si>
    <t>*potential public concern</t>
  </si>
  <si>
    <t>*Potential implications to human health, wildlife and their habitat</t>
  </si>
  <si>
    <t>Aquatic Life, Wildlife and their Habitat</t>
  </si>
  <si>
    <t>Fish Population and Habitat</t>
  </si>
  <si>
    <t>*change in abundance and distribution of fish populations (includes commercial, recreational and/or aboriginal species and species at risk)</t>
  </si>
  <si>
    <t>*changes in habitat quality and quantity</t>
  </si>
  <si>
    <t>*potential to cause serious harm to fish as defined under Federal Fisheries Act</t>
  </si>
  <si>
    <t>*Regional and potential Aboriginal concerns</t>
  </si>
  <si>
    <t>Wetlands Habitat</t>
  </si>
  <si>
    <t>*changes in number and area of wetlands</t>
  </si>
  <si>
    <t>*changes in wetland health and overall function</t>
  </si>
  <si>
    <t>*changes in wetland native species</t>
  </si>
  <si>
    <t>*introduction of prohibited noxious or noxious weed species into a wetland</t>
  </si>
  <si>
    <t>*Potential implications to wildlife habitat potential, plant species habitat potential and use of</t>
  </si>
  <si>
    <t>plants for traditional purposes.</t>
  </si>
  <si>
    <t>*Potential implications to species and community level biodiversity.</t>
  </si>
  <si>
    <t>*Potential implications to water quality and water attenuation within wetlands.</t>
  </si>
  <si>
    <t>Wildlife and their Habitat</t>
  </si>
  <si>
    <t>(including Species at Risk and/or Species of Special Status</t>
  </si>
  <si>
    <t>*Change in suitable habitat</t>
  </si>
  <si>
    <t>*Change in wildlife abundance</t>
  </si>
  <si>
    <t>*Change in movement patterns</t>
  </si>
  <si>
    <t>*Economic importance (i.e., hunting licenses), recreational importance, ecological importance (primary prey species), traditional importance</t>
  </si>
  <si>
    <t>Criteria Air Contaminant (CAC) Emissions</t>
  </si>
  <si>
    <t>*Change in ambient concentration of CACs (including nitrogen dioxide, sulphur dioxide, carbon monoxide, respirable particulate matter, total suspended particulates)</t>
  </si>
  <si>
    <t>*dust generation</t>
  </si>
  <si>
    <t>*compliance with provincial and federal ambient air quality standards and objectives</t>
  </si>
  <si>
    <t>*potential health implications</t>
  </si>
  <si>
    <t>Permitted Emissions Allowance</t>
  </si>
  <si>
    <t>*Exceeding a permitted emissions allowance</t>
  </si>
  <si>
    <t>Greenhouse Gas (GHG) Emissions</t>
  </si>
  <si>
    <t>*change in GHG emissions</t>
  </si>
  <si>
    <t>*change in carbon tax and/or cap&amp;trade program</t>
  </si>
  <si>
    <t>*increased energy consumption</t>
  </si>
  <si>
    <t>*regulatory requirement in NEB filing manual</t>
  </si>
  <si>
    <t>*Potential public concern related to climate change and energy usage</t>
  </si>
  <si>
    <t>When selecting a consequence category (Critical, Major, Serious and Minor) for a given potential environmental effect on a VEC or key indicator, an analysis of the significance/scale of the environmental effect is required</t>
  </si>
  <si>
    <t>Effects Criteria</t>
  </si>
  <si>
    <t>Definition</t>
  </si>
  <si>
    <t>General Environmental Description</t>
  </si>
  <si>
    <r>
      <t>Magnitude</t>
    </r>
    <r>
      <rPr>
        <vertAlign val="superscript"/>
        <sz val="11"/>
        <color theme="1"/>
        <rFont val="Calibri"/>
        <family val="2"/>
        <scheme val="minor"/>
      </rPr>
      <t>a</t>
    </r>
  </si>
  <si>
    <t>The intensity of the environmental effect, or a measure of the degree of change from existing (baseline) conditions</t>
  </si>
  <si>
    <r>
      <t>·</t>
    </r>
    <r>
      <rPr>
        <sz val="7"/>
        <color theme="1"/>
        <rFont val="Times New Roman"/>
        <family val="1"/>
      </rPr>
      <t xml:space="preserve">         </t>
    </r>
    <r>
      <rPr>
        <i/>
        <sz val="9"/>
        <color theme="1"/>
        <rFont val="Calibri"/>
        <family val="2"/>
        <scheme val="minor"/>
      </rPr>
      <t>Low</t>
    </r>
    <r>
      <rPr>
        <sz val="9"/>
        <color theme="1"/>
        <rFont val="Calibri"/>
        <family val="2"/>
        <scheme val="minor"/>
      </rPr>
      <t xml:space="preserve"> – effect may be detectable, but expected within the range of baseline/guideline values and/or within natural variability</t>
    </r>
  </si>
  <si>
    <r>
      <t>·</t>
    </r>
    <r>
      <rPr>
        <sz val="7"/>
        <color theme="1"/>
        <rFont val="Times New Roman"/>
        <family val="1"/>
      </rPr>
      <t xml:space="preserve">         </t>
    </r>
    <r>
      <rPr>
        <i/>
        <sz val="9"/>
        <color theme="1"/>
        <rFont val="Calibri"/>
        <family val="2"/>
        <scheme val="minor"/>
      </rPr>
      <t>Moderate</t>
    </r>
    <r>
      <rPr>
        <sz val="9"/>
        <color theme="1"/>
        <rFont val="Calibri"/>
        <family val="2"/>
        <scheme val="minor"/>
      </rPr>
      <t xml:space="preserve"> - effect is expected to be at or slightly exceeds baseline/guideline values but unlikely to pose a management concern</t>
    </r>
  </si>
  <si>
    <r>
      <t>·</t>
    </r>
    <r>
      <rPr>
        <sz val="7"/>
        <color theme="1"/>
        <rFont val="Times New Roman"/>
        <family val="1"/>
      </rPr>
      <t xml:space="preserve">         </t>
    </r>
    <r>
      <rPr>
        <i/>
        <sz val="9"/>
        <color theme="1"/>
        <rFont val="Calibri"/>
        <family val="2"/>
        <scheme val="minor"/>
      </rPr>
      <t>High</t>
    </r>
    <r>
      <rPr>
        <sz val="9"/>
        <color theme="1"/>
        <rFont val="Calibri"/>
        <family val="2"/>
        <scheme val="minor"/>
      </rPr>
      <t xml:space="preserve"> - effect is expected to exceed the limits of baseline/guideline values and can pose a serious risk and/or management concern</t>
    </r>
  </si>
  <si>
    <t>Geographic Extent</t>
  </si>
  <si>
    <t>The spatial extent or “footprint” over which the environmental effect will occur</t>
  </si>
  <si>
    <r>
      <t>·</t>
    </r>
    <r>
      <rPr>
        <sz val="7"/>
        <color theme="1"/>
        <rFont val="Times New Roman"/>
        <family val="1"/>
      </rPr>
      <t xml:space="preserve">         </t>
    </r>
    <r>
      <rPr>
        <i/>
        <sz val="9"/>
        <color theme="1"/>
        <rFont val="Calibri"/>
        <family val="2"/>
        <scheme val="minor"/>
      </rPr>
      <t>Local</t>
    </r>
    <r>
      <rPr>
        <sz val="9"/>
        <color theme="1"/>
        <rFont val="Calibri"/>
        <family val="2"/>
        <scheme val="minor"/>
      </rPr>
      <t xml:space="preserve"> - effect is confined to the localized area (ex: project/ facility/ROW footprint)</t>
    </r>
  </si>
  <si>
    <r>
      <t>·</t>
    </r>
    <r>
      <rPr>
        <sz val="7"/>
        <color theme="1"/>
        <rFont val="Times New Roman"/>
        <family val="1"/>
      </rPr>
      <t xml:space="preserve">         </t>
    </r>
    <r>
      <rPr>
        <i/>
        <sz val="9"/>
        <color theme="1"/>
        <rFont val="Calibri"/>
        <family val="2"/>
        <scheme val="minor"/>
      </rPr>
      <t xml:space="preserve">Regional </t>
    </r>
    <r>
      <rPr>
        <sz val="9"/>
        <color theme="1"/>
        <rFont val="Calibri"/>
        <family val="2"/>
        <scheme val="minor"/>
      </rPr>
      <t>- effect extends beyond the localized area (ex: outside the project/facility/ROW footprint)</t>
    </r>
  </si>
  <si>
    <r>
      <t>Duration / Reversibility</t>
    </r>
    <r>
      <rPr>
        <vertAlign val="superscript"/>
        <sz val="11"/>
        <color theme="1"/>
        <rFont val="Calibri"/>
        <family val="2"/>
        <scheme val="minor"/>
      </rPr>
      <t>a</t>
    </r>
  </si>
  <si>
    <r>
      <t>·</t>
    </r>
    <r>
      <rPr>
        <sz val="7"/>
        <color theme="1"/>
        <rFont val="Times New Roman"/>
        <family val="1"/>
      </rPr>
      <t xml:space="preserve">         </t>
    </r>
    <r>
      <rPr>
        <i/>
        <sz val="9"/>
        <color theme="1"/>
        <rFont val="Calibri"/>
        <family val="2"/>
        <scheme val="minor"/>
      </rPr>
      <t>Duration</t>
    </r>
    <r>
      <rPr>
        <sz val="9"/>
        <color theme="1"/>
        <rFont val="Calibri"/>
        <family val="2"/>
        <scheme val="minor"/>
      </rPr>
      <t xml:space="preserve"> is the period of time over which the environmental effect will be present. This includes time required for the effect to be reversed</t>
    </r>
  </si>
  <si>
    <r>
      <t>·</t>
    </r>
    <r>
      <rPr>
        <sz val="7"/>
        <color theme="1"/>
        <rFont val="Times New Roman"/>
        <family val="1"/>
      </rPr>
      <t xml:space="preserve">         </t>
    </r>
    <r>
      <rPr>
        <i/>
        <sz val="9"/>
        <color theme="1"/>
        <rFont val="Calibri"/>
        <family val="2"/>
        <scheme val="minor"/>
      </rPr>
      <t>Reversibility</t>
    </r>
    <r>
      <rPr>
        <sz val="9"/>
        <color theme="1"/>
        <rFont val="Calibri"/>
        <family val="2"/>
        <scheme val="minor"/>
      </rPr>
      <t xml:space="preserve"> is an indication of the potential for the recovery of the VEC/Key Indicator from the environmental effect. Reversible implied that the environmental effect will not result in a permanent change of state of the VEC/Key Indicator compared to similar environments not influenced by the environmental effect. For effects that are permanent, the effect is determined to be irreversible</t>
    </r>
  </si>
  <si>
    <r>
      <t>·</t>
    </r>
    <r>
      <rPr>
        <sz val="7"/>
        <color theme="1"/>
        <rFont val="Times New Roman"/>
        <family val="1"/>
      </rPr>
      <t xml:space="preserve">         </t>
    </r>
    <r>
      <rPr>
        <i/>
        <sz val="9"/>
        <color theme="1"/>
        <rFont val="Calibri"/>
        <family val="2"/>
        <scheme val="minor"/>
      </rPr>
      <t>Short-term</t>
    </r>
    <r>
      <rPr>
        <sz val="9"/>
        <color theme="1"/>
        <rFont val="Calibri"/>
        <family val="2"/>
        <scheme val="minor"/>
      </rPr>
      <t>- effect occurs only during construction/operation and is reversible</t>
    </r>
  </si>
  <si>
    <r>
      <t>·</t>
    </r>
    <r>
      <rPr>
        <sz val="7"/>
        <color theme="1"/>
        <rFont val="Times New Roman"/>
        <family val="1"/>
      </rPr>
      <t xml:space="preserve">         </t>
    </r>
    <r>
      <rPr>
        <i/>
        <sz val="9"/>
        <color theme="1"/>
        <rFont val="Calibri"/>
        <family val="2"/>
        <scheme val="minor"/>
      </rPr>
      <t>Medium-term</t>
    </r>
    <r>
      <rPr>
        <sz val="9"/>
        <color theme="1"/>
        <rFont val="Calibri"/>
        <family val="2"/>
        <scheme val="minor"/>
      </rPr>
      <t xml:space="preserve"> - effect occurs during construction/operation and is reversible at abandonment</t>
    </r>
  </si>
  <si>
    <r>
      <t>·</t>
    </r>
    <r>
      <rPr>
        <sz val="7"/>
        <color theme="1"/>
        <rFont val="Times New Roman"/>
        <family val="1"/>
      </rPr>
      <t xml:space="preserve">         </t>
    </r>
    <r>
      <rPr>
        <i/>
        <sz val="9"/>
        <color theme="1"/>
        <rFont val="Calibri"/>
        <family val="2"/>
        <scheme val="minor"/>
      </rPr>
      <t>Long-term</t>
    </r>
    <r>
      <rPr>
        <sz val="9"/>
        <color theme="1"/>
        <rFont val="Calibri"/>
        <family val="2"/>
        <scheme val="minor"/>
      </rPr>
      <t xml:space="preserve"> - effect occurs during construction/operations and persists beyond abandonment, but is reversible</t>
    </r>
  </si>
  <si>
    <r>
      <t>·</t>
    </r>
    <r>
      <rPr>
        <sz val="7"/>
        <color theme="1"/>
        <rFont val="Times New Roman"/>
        <family val="1"/>
      </rPr>
      <t xml:space="preserve">         </t>
    </r>
    <r>
      <rPr>
        <i/>
        <sz val="9"/>
        <color theme="1"/>
        <rFont val="Calibri"/>
        <family val="2"/>
        <scheme val="minor"/>
      </rPr>
      <t>Permanent</t>
    </r>
    <r>
      <rPr>
        <sz val="9"/>
        <color theme="1"/>
        <rFont val="Calibri"/>
        <family val="2"/>
        <scheme val="minor"/>
      </rPr>
      <t xml:space="preserve"> - the effect occurs during construction/operation and is irreversible</t>
    </r>
  </si>
  <si>
    <t xml:space="preserve">The assessed significance of the adverse of effect on a VEC/key indicator uses a combination of magnitude, geographic extent and duration/reversibility to determine the  consequence </t>
  </si>
  <si>
    <t>Magnitude/Extent</t>
  </si>
  <si>
    <t>High - Regional</t>
  </si>
  <si>
    <t>High - Local</t>
  </si>
  <si>
    <t>Moderate - Regional</t>
  </si>
  <si>
    <t>Moderate - Local</t>
  </si>
  <si>
    <t>Low - Regional</t>
  </si>
  <si>
    <t>Low - Local</t>
  </si>
  <si>
    <t>Short-Term</t>
  </si>
  <si>
    <t>Medium-Term</t>
  </si>
  <si>
    <t>Long-Term</t>
  </si>
  <si>
    <t>Permanent</t>
  </si>
  <si>
    <t>Duration/Reversibility</t>
  </si>
  <si>
    <t>($X - $XX)</t>
  </si>
  <si>
    <t>($XX - $XXM)</t>
  </si>
  <si>
    <t>Major</t>
  </si>
  <si>
    <t>($XXM - $XXM)</t>
  </si>
  <si>
    <t>($XXM - $XXXM)</t>
  </si>
  <si>
    <t>terrain stability</t>
  </si>
  <si>
    <t>units</t>
  </si>
  <si>
    <t>$ Cdn</t>
  </si>
  <si>
    <t>cu meter</t>
  </si>
  <si>
    <t>med</t>
  </si>
  <si>
    <t>factor</t>
  </si>
  <si>
    <t>size m3</t>
  </si>
  <si>
    <t>Equation 1. Terrain Stability Key Indicator Consequence Value</t>
  </si>
  <si>
    <t>Where:</t>
  </si>
  <si>
    <t xml:space="preserve">TSCV </t>
  </si>
  <si>
    <t>Terrain Stability Key Indicator Consequence Value (2016 CAD)</t>
  </si>
  <si>
    <t>TSCC</t>
  </si>
  <si>
    <t>Terrain Stability Consequence Costs (2016 CAD/m3)</t>
  </si>
  <si>
    <t>GEI</t>
  </si>
  <si>
    <t>geographic extent of effect (m3)</t>
  </si>
  <si>
    <t>M</t>
  </si>
  <si>
    <t>Magnitude multiplier (unit less)</t>
  </si>
  <si>
    <t>Terrain Stability Consequence Costs</t>
  </si>
  <si>
    <t>Magnitude Multiplier</t>
  </si>
  <si>
    <t>Consequence Value</t>
  </si>
  <si>
    <t>(2016 CAD)</t>
  </si>
  <si>
    <t>Terrain Stability Key Indicator Consequence Value Range</t>
  </si>
  <si>
    <t>MINOR</t>
  </si>
  <si>
    <t>Low: 0.1</t>
  </si>
  <si>
    <t>Local: 500</t>
  </si>
  <si>
    <t>$8,700 - $435,000</t>
  </si>
  <si>
    <t>Regional: 25000</t>
  </si>
  <si>
    <t>Moderate: 0.2</t>
  </si>
  <si>
    <t>SERIOUS</t>
  </si>
  <si>
    <t>$8,700 – $870,000</t>
  </si>
  <si>
    <t>High: 1</t>
  </si>
  <si>
    <t>MAJOR</t>
  </si>
  <si>
    <t>$17,400 – $4.4M</t>
  </si>
  <si>
    <t>CRITICAL</t>
  </si>
  <si>
    <t>$87,000 - $4.4M</t>
  </si>
  <si>
    <r>
      <t>(2016 CAD/m</t>
    </r>
    <r>
      <rPr>
        <b/>
        <vertAlign val="superscript"/>
        <sz val="9"/>
        <color theme="1"/>
        <rFont val="Calibri"/>
        <family val="2"/>
        <scheme val="minor"/>
      </rPr>
      <t>3</t>
    </r>
    <r>
      <rPr>
        <b/>
        <sz val="9"/>
        <color theme="1"/>
        <rFont val="Calibri"/>
        <family val="2"/>
        <scheme val="minor"/>
      </rPr>
      <t>)</t>
    </r>
  </si>
  <si>
    <r>
      <t>(m</t>
    </r>
    <r>
      <rPr>
        <b/>
        <vertAlign val="superscript"/>
        <sz val="9"/>
        <color theme="1"/>
        <rFont val="Calibri"/>
        <family val="2"/>
        <scheme val="minor"/>
      </rPr>
      <t>3</t>
    </r>
    <r>
      <rPr>
        <b/>
        <sz val="9"/>
        <color theme="1"/>
        <rFont val="Calibri"/>
        <family val="2"/>
        <scheme val="minor"/>
      </rPr>
      <t>)</t>
    </r>
  </si>
  <si>
    <t>CPC</t>
  </si>
  <si>
    <t>Contamination Program Costs (2016 CAD)</t>
  </si>
  <si>
    <t>geographic extent of effect (ha)</t>
  </si>
  <si>
    <t>Magnitude multiplier (% affected/ha)</t>
  </si>
  <si>
    <t>Soils Contamination Key Indicator Consequence Value (2016 CAD)</t>
  </si>
  <si>
    <t xml:space="preserve">SCCV </t>
  </si>
  <si>
    <t>Soils Contamination Key Indicator Consequence Value</t>
  </si>
  <si>
    <t>Contamination Program Costs</t>
  </si>
  <si>
    <t>(% affected/ha)</t>
  </si>
  <si>
    <t>(ha)</t>
  </si>
  <si>
    <t>Gas/Energy Operations Contamination Key Indicator Consequence Value Range</t>
  </si>
  <si>
    <t>Low: 10%</t>
  </si>
  <si>
    <t>Local: 4</t>
  </si>
  <si>
    <t>$195,000 - $980,000</t>
  </si>
  <si>
    <t>Regional: 20</t>
  </si>
  <si>
    <t>Moderate: 20%</t>
  </si>
  <si>
    <t>$301,000 – $3.0M</t>
  </si>
  <si>
    <t>High: 100%</t>
  </si>
  <si>
    <t>$1.2M – $29.0M</t>
  </si>
  <si>
    <t>$24.0M - $121M</t>
  </si>
  <si>
    <t>Soils Contamination</t>
  </si>
  <si>
    <t>Equation 5 Hydrology and Erosion Control Consequence Value</t>
  </si>
  <si>
    <t xml:space="preserve">HECCV </t>
  </si>
  <si>
    <t>Hydrology-Erosion Control Consequence Value (2016 CAD)</t>
  </si>
  <si>
    <t>HECMC</t>
  </si>
  <si>
    <t>Hydrology-Erosion Control Mitigation Costs (2016 CAD/hectare)</t>
  </si>
  <si>
    <r>
      <t>GE</t>
    </r>
    <r>
      <rPr>
        <vertAlign val="subscript"/>
        <sz val="10"/>
        <color theme="1"/>
        <rFont val="Calibri"/>
        <family val="2"/>
        <scheme val="minor"/>
      </rPr>
      <t>I</t>
    </r>
  </si>
  <si>
    <t>geographic extent of effect (hectares)</t>
  </si>
  <si>
    <t>Magnitude multiplier (unitless)</t>
  </si>
  <si>
    <r>
      <t>Duration</t>
    </r>
    <r>
      <rPr>
        <vertAlign val="subscript"/>
        <sz val="10"/>
        <color theme="1"/>
        <rFont val="Calibri"/>
        <family val="2"/>
        <scheme val="minor"/>
      </rPr>
      <t>I</t>
    </r>
  </si>
  <si>
    <t>duration of effect (years)</t>
  </si>
  <si>
    <t>Lifetime</t>
  </si>
  <si>
    <t xml:space="preserve">Average lifetime of erosion control mitigation (years) </t>
  </si>
  <si>
    <t>Erosion Control Mitigative Costs</t>
  </si>
  <si>
    <t>(2016 CAD/ha)</t>
  </si>
  <si>
    <t>(Ha)</t>
  </si>
  <si>
    <t>Duration/ Lifetime</t>
  </si>
  <si>
    <t>Erosion Control Key Indicator Consequence Value Range</t>
  </si>
  <si>
    <t>Short-Term: 1</t>
  </si>
  <si>
    <t>$300 - $1,496</t>
  </si>
  <si>
    <t>Medium-Term: 1</t>
  </si>
  <si>
    <t>Long-Term: 5</t>
  </si>
  <si>
    <t>$600 – $30,000</t>
  </si>
  <si>
    <t>Permanent: 100</t>
  </si>
  <si>
    <t>$3,000 – $150,000</t>
  </si>
  <si>
    <t>$75,000 - $1.5M</t>
  </si>
  <si>
    <t>Hydrology and Erosion:</t>
  </si>
  <si>
    <t>The costs of water diversion methods relating to the redirection of a watercourse</t>
  </si>
  <si>
    <t>Equation 6 Water Diversion Consequence Value</t>
  </si>
  <si>
    <t xml:space="preserve">WDCV </t>
  </si>
  <si>
    <t>Water Diversion Consequence Value (2016 CAD)</t>
  </si>
  <si>
    <t>WDC</t>
  </si>
  <si>
    <t>Water Diversion Costs (2016 CAD/hectare)</t>
  </si>
  <si>
    <t>MC</t>
  </si>
  <si>
    <t xml:space="preserve">maintenance costs for water diversion (2016 CAD/year) </t>
  </si>
  <si>
    <t>Maintenance Costs</t>
  </si>
  <si>
    <t>Water Diversion Key Indicator Consequence Value Range</t>
  </si>
  <si>
    <t>$55,000 - $275,000</t>
  </si>
  <si>
    <t>Local: 1</t>
  </si>
  <si>
    <t>$97,000 - $33.6M</t>
  </si>
  <si>
    <t>Permanent: 1000</t>
  </si>
  <si>
    <t>Regional: 1</t>
  </si>
  <si>
    <t>Long-Term: 50</t>
  </si>
  <si>
    <t>$5.4M</t>
  </si>
  <si>
    <t>$5.5M – $38.9M</t>
  </si>
  <si>
    <t>$282M</t>
  </si>
  <si>
    <t>$284M - $315M</t>
  </si>
  <si>
    <t>Equation 7 Aquatic Life, Wildlife and their Habitat VEC Consequence Value</t>
  </si>
  <si>
    <t xml:space="preserve">ECV </t>
  </si>
  <si>
    <t>Aquatic Life, Wildlife and their Habitat VEC Consequence Value (2016 CAD)</t>
  </si>
  <si>
    <t>NCV</t>
  </si>
  <si>
    <t>natural capital value (2016 CAD/hectares/year)</t>
  </si>
  <si>
    <t>RP</t>
  </si>
  <si>
    <t>rebound period (years)</t>
  </si>
  <si>
    <t>Ecosystem NCV</t>
  </si>
  <si>
    <t>Duration</t>
  </si>
  <si>
    <t>(years)</t>
  </si>
  <si>
    <t>Rebound Period</t>
  </si>
  <si>
    <t>Aquatic Life, Wildlife and their Habitat VEC Consequence Value Average Range</t>
  </si>
  <si>
    <t>Agricultural: $7,389</t>
  </si>
  <si>
    <t>$40,000 - $1.3M</t>
  </si>
  <si>
    <t>Rivers &amp; Lakes: $67,229</t>
  </si>
  <si>
    <t>$630,000 – $7.7M</t>
  </si>
  <si>
    <t>$2.9M – $33.5M</t>
  </si>
  <si>
    <t>$54.0M - $504M</t>
  </si>
  <si>
    <t>aquatic life and habitat</t>
  </si>
  <si>
    <t>Equation 8 Air Emissions Consequence Value</t>
  </si>
  <si>
    <t xml:space="preserve">AECV </t>
  </si>
  <si>
    <t>Air Emissions Consequence Value (2016 CAD)</t>
  </si>
  <si>
    <t>PC</t>
  </si>
  <si>
    <t>Penalty Costs (2016 CAD/day)</t>
  </si>
  <si>
    <t>duration of effect (days)</t>
  </si>
  <si>
    <t>Penalty Costs</t>
  </si>
  <si>
    <t>(2016 CAD/day)</t>
  </si>
  <si>
    <t>Duration (Days)</t>
  </si>
  <si>
    <t>Air Emissions Consequence Value Range</t>
  </si>
  <si>
    <t>Low: 10</t>
  </si>
  <si>
    <t>$0 - $5,000</t>
  </si>
  <si>
    <t>Medium-Term: 14</t>
  </si>
  <si>
    <t>$50,000 - $300,000</t>
  </si>
  <si>
    <t>Long-Term: 60</t>
  </si>
  <si>
    <t>Moderate: 100</t>
  </si>
  <si>
    <t>$100,000 - $3,000,000</t>
  </si>
  <si>
    <t>High: 200</t>
  </si>
  <si>
    <t>$6.0M</t>
  </si>
  <si>
    <t>air emissions</t>
  </si>
  <si>
    <t>Equation 9 GHG Consequence Value</t>
  </si>
  <si>
    <t xml:space="preserve">GHGCV </t>
  </si>
  <si>
    <t>GHG Consequence Value (2016 CAD)</t>
  </si>
  <si>
    <t>GHGe</t>
  </si>
  <si>
    <t>GHG Emissions (tonnes CO2e/year)</t>
  </si>
  <si>
    <t>CC</t>
  </si>
  <si>
    <t>Carbon Cost (2016 CAD/tonnes CO2e per year)</t>
  </si>
  <si>
    <t>greenhouse gas emissions</t>
  </si>
  <si>
    <t>GHG Emissions</t>
  </si>
  <si>
    <t>(tonnes CO2e/year)</t>
  </si>
  <si>
    <t>Duration (Yrs)</t>
  </si>
  <si>
    <t>GHG Consequence Value Range</t>
  </si>
  <si>
    <t>Low: $2.5</t>
  </si>
  <si>
    <t>Short-Term: 0.04</t>
  </si>
  <si>
    <t>$0 - $1,200</t>
  </si>
  <si>
    <t>Medium-Term: 0.2</t>
  </si>
  <si>
    <t>$21,000 - $6.3M</t>
  </si>
  <si>
    <t>Moderate: $15</t>
  </si>
  <si>
    <t>$230,000 - $150M</t>
  </si>
  <si>
    <t>High: $30</t>
  </si>
  <si>
    <t>$900M</t>
  </si>
  <si>
    <t>Valued Environmental Component and Key Indicators</t>
  </si>
  <si>
    <t>Consequence Value Range (2016 CAD)</t>
  </si>
  <si>
    <t>Range</t>
  </si>
  <si>
    <t>Average</t>
  </si>
  <si>
    <t>$8,700 - $870,000</t>
  </si>
  <si>
    <t>$17,400 – $4.5M</t>
  </si>
  <si>
    <t>$1.2M</t>
  </si>
  <si>
    <t>$87,000 – $4.5M</t>
  </si>
  <si>
    <t>$2.4M</t>
  </si>
  <si>
    <t>$301,000 - $3.0M</t>
  </si>
  <si>
    <t>$1.5M</t>
  </si>
  <si>
    <t>$9.6M</t>
  </si>
  <si>
    <t>$24.0M – $121M</t>
  </si>
  <si>
    <t>$72.4M</t>
  </si>
  <si>
    <t>Hydrology – Erosion Control</t>
  </si>
  <si>
    <t>$300 - $1,500</t>
  </si>
  <si>
    <t>$600 - $30,000</t>
  </si>
  <si>
    <t>$75,000 – $1.5M</t>
  </si>
  <si>
    <t>Hydrology – Water Diversion</t>
  </si>
  <si>
    <t>$5.5M - $38.9M</t>
  </si>
  <si>
    <t>$13.5M</t>
  </si>
  <si>
    <t>$307M</t>
  </si>
  <si>
    <t>All Key Indicators</t>
  </si>
  <si>
    <t>$40,000-$1.3M</t>
  </si>
  <si>
    <t>$4.2M</t>
  </si>
  <si>
    <t>$2.9M - $33.5M</t>
  </si>
  <si>
    <t>$18.2M</t>
  </si>
  <si>
    <t>$279M</t>
  </si>
  <si>
    <t>$100,000 - $3.0M</t>
  </si>
  <si>
    <t>$1.3M</t>
  </si>
  <si>
    <t>$2.1M</t>
  </si>
  <si>
    <t>$37.9M</t>
  </si>
  <si>
    <t>$0 - $700,000</t>
  </si>
  <si>
    <t>$700,000 – $5.5M</t>
  </si>
  <si>
    <t>$5.5M - $40M</t>
  </si>
  <si>
    <t>$40M - &gt;$900M</t>
  </si>
  <si>
    <t>Proposed Environmental Consequence Matrix Scaling – Gas Operations</t>
  </si>
  <si>
    <t>7-tier</t>
  </si>
  <si>
    <t>small</t>
  </si>
  <si>
    <t>non-sensitive</t>
  </si>
  <si>
    <t>nil</t>
  </si>
  <si>
    <t>level 1</t>
  </si>
  <si>
    <t>level 2</t>
  </si>
  <si>
    <t>level 3</t>
  </si>
  <si>
    <t>a few months</t>
  </si>
  <si>
    <t>damage to one cultural site</t>
  </si>
  <si>
    <t>moderate threat/impact, reversible</t>
  </si>
  <si>
    <t>immediately correctable</t>
  </si>
  <si>
    <t>negligible</t>
  </si>
  <si>
    <t>temp loss of habitat to a protected species</t>
  </si>
  <si>
    <t>up to 2 yrs</t>
  </si>
  <si>
    <t>signif threat/impact, but reversible</t>
  </si>
  <si>
    <t>level 4</t>
  </si>
  <si>
    <t>level 5</t>
  </si>
  <si>
    <t>2 - 10 years</t>
  </si>
  <si>
    <t>destruction of regionally important cultural site</t>
  </si>
  <si>
    <t>toxic release w/ signif threat/impact, reversible over a longer time frame</t>
  </si>
  <si>
    <t>level 6</t>
  </si>
  <si>
    <t>direct harm to a single individual of a protected species</t>
  </si>
  <si>
    <t>direct harm to multiple individuals of a protected species</t>
  </si>
  <si>
    <t>11-100 years</t>
  </si>
  <si>
    <t>elimination of a signicant population of a protected species</t>
  </si>
  <si>
    <t>toxic, acute, long-term impact</t>
  </si>
  <si>
    <t>toxic, immediate, acute, irreversible</t>
  </si>
  <si>
    <t>&gt;100 yrs</t>
  </si>
  <si>
    <t>destruction of nationally important cultural site</t>
  </si>
  <si>
    <t>destruction of globally important cultural site</t>
  </si>
  <si>
    <t>elimination of a species</t>
  </si>
  <si>
    <t>level 7</t>
  </si>
  <si>
    <t>$10B</t>
  </si>
  <si>
    <t>$1B</t>
  </si>
  <si>
    <t>$100M</t>
  </si>
  <si>
    <t>$10M</t>
  </si>
  <si>
    <t>$1M</t>
  </si>
  <si>
    <t>$100K</t>
  </si>
  <si>
    <t>$10K</t>
  </si>
  <si>
    <t>max value</t>
  </si>
  <si>
    <t xml:space="preserve">Soil Contamination </t>
  </si>
  <si>
    <t xml:space="preserve">Water Quality </t>
  </si>
  <si>
    <t xml:space="preserve">Hydrology - Erosion </t>
  </si>
  <si>
    <t>Hydrology - Water Diversion</t>
  </si>
  <si>
    <t>Water Quality</t>
  </si>
  <si>
    <t>VEC</t>
  </si>
  <si>
    <t>percent of acreage in an area affected</t>
  </si>
  <si>
    <t>m3 affected</t>
  </si>
  <si>
    <t>local vs. regional</t>
  </si>
  <si>
    <t>Nil</t>
  </si>
  <si>
    <t>Immediate Correctable</t>
  </si>
  <si>
    <t>Months</t>
  </si>
  <si>
    <t xml:space="preserve"> up to 2 yrs</t>
  </si>
  <si>
    <t>2-10 yrs</t>
  </si>
  <si>
    <t>Long-Term (11-100 yrs)</t>
  </si>
  <si>
    <t>&gt;100 yrs, Permanent</t>
  </si>
  <si>
    <t>Isolated - very small</t>
  </si>
  <si>
    <t>Small - local, controlled</t>
  </si>
  <si>
    <t>Low - local, multiple properties</t>
  </si>
  <si>
    <t>Magnitude/Extent/Max Value</t>
  </si>
  <si>
    <t>greenhouse gas</t>
  </si>
  <si>
    <t>minor</t>
  </si>
  <si>
    <t>major</t>
  </si>
  <si>
    <t>serious</t>
  </si>
  <si>
    <t>critical</t>
  </si>
  <si>
    <t>tonnes CO2e/yr</t>
  </si>
  <si>
    <t>low magnitude</t>
  </si>
  <si>
    <t>moderate magnitude</t>
  </si>
  <si>
    <t>high magnitude</t>
  </si>
  <si>
    <t>air emissions - other contaminants</t>
  </si>
  <si>
    <t>penalty $/day CAD</t>
  </si>
  <si>
    <t>$/tonne CO2 (CAD)</t>
  </si>
  <si>
    <t>Natural capital (aquatic life and water quality)</t>
  </si>
  <si>
    <t>Land Use/Ecosystem</t>
  </si>
  <si>
    <t>Total Natural Capital (2016 CAD/hectare/year)</t>
  </si>
  <si>
    <t>Count of Studies</t>
  </si>
  <si>
    <t>Minimum</t>
  </si>
  <si>
    <t>Median</t>
  </si>
  <si>
    <t>Maximum</t>
  </si>
  <si>
    <t>Agricultural</t>
  </si>
  <si>
    <t>Wetlands</t>
  </si>
  <si>
    <t>Natural Land</t>
  </si>
  <si>
    <t>Rivers &amp; Lakes (Waterbody)</t>
  </si>
  <si>
    <t>local = 4 hectares</t>
  </si>
  <si>
    <t>regional = 20 ha</t>
  </si>
  <si>
    <t>duration multipliers:  short and medium term = 1; long term = 50; extreme = 1000</t>
  </si>
  <si>
    <t>magnitude multipliers: low = 0.1, moderate = 0.2, high = 1</t>
  </si>
  <si>
    <t>Environmental:  evaluate potential environmental effects from surface or subsurface release.  NOTE: see safety, subsurface release, for probability of radial extent</t>
  </si>
  <si>
    <t xml:space="preserve"> - if the well fails and leaks methane for up to 30 days, worst case is volume converted to metric tons</t>
  </si>
  <si>
    <t>PHMSA estimated social costs of climate-related impacts of the Aliso Canyon incident at $122.9 million dollars: release of up to 109,000 metric tons, $1,128 per metric ton. Costs were restated from 2012 dollars to 2015 dollars using the GDP deflator ($1,100 × 1.04335)</t>
  </si>
  <si>
    <t>Gas releases: generally reversible; might upset local water supplies if based on groundwater wells; might kill vegetation and agricultural products, generally short duration of lasting impact; can affect soil stability; could carry or create avenues for other contaminants to flow; generally lower impact on fresh water and animal species</t>
  </si>
  <si>
    <t xml:space="preserve">Soil Stability </t>
  </si>
  <si>
    <t>Water Supply Security</t>
  </si>
  <si>
    <t>Greenhouse Gas emissions social costs</t>
  </si>
  <si>
    <t>Calculation Basis</t>
  </si>
  <si>
    <t>Fluid Flow/Transport of Toxins/Pollutants</t>
  </si>
  <si>
    <t>Factors</t>
  </si>
  <si>
    <t>2.471 acres per hectare</t>
  </si>
  <si>
    <t>max $/acre</t>
  </si>
  <si>
    <t>1.31 Cdn$ per USD</t>
  </si>
  <si>
    <t>Vegetation Health and Soil Productivity</t>
  </si>
  <si>
    <t>30 day flow volume, subsurface impact range probability, potential for gas and water to form slurries and create slumps, mud pots, heaves, or other instability.  Cost is for remediation, earthwork, etc. Use topsoil and substrate types and hydrology to determine liquefaction potential in the event of a gas release:  hard rock or clay substrate, probability of consequence =.1; mixed layer silt/clay, probability of consequence = .3; sandy soils, probability .5-.8, loamy soils, probability .5-.1</t>
  </si>
  <si>
    <t>30 day flow volume and subsurface impact range probability; based on natural vegetation (lower unless unique species) vs. agriculture (higher depending on crop values).  Cost is for damages.</t>
  </si>
  <si>
    <t>min</t>
  </si>
  <si>
    <t>methane mcf</t>
  </si>
  <si>
    <t>tons methane</t>
  </si>
  <si>
    <t>30 day flow volume, calculate tons and multiply by $1128/ton of methane</t>
  </si>
  <si>
    <t>30 day flow volume, subsurface impact range probability, number of water wells (order of magnitude) in impact area. Cost per impacted acre assumes water well adapters or replacement, ongoing testing, drilling of vent and monitor wells, and other measures.  Multipliers:  1 or fewer water wells in the area, multiply by .01; 2-10 water wells in area of impact, multiply by .1; 10-100 water wells in area of impact, multiply by 1; more than 100 water wells in area of impact, multiply by 10, then multiply by a factor of 10 for each additional factor of ten for number of water wells in the area of impact</t>
  </si>
  <si>
    <t>per 1 mile radius of impact</t>
  </si>
  <si>
    <t>per event site</t>
  </si>
  <si>
    <t>potential and magnitude multiplier (.01 if not expected to have anything but gas and some non-resident water; .1 if some higher TDS water; 10 for potential for BTX and chloride or other known contaminants in the area).  Cost is for investigation, remediation/cleanup, reclamation, monitoring</t>
  </si>
  <si>
    <t>per Bcf emitted (max); per mmcf emitted (min)</t>
  </si>
  <si>
    <t>minimum one worker/week 50 wks/yr, 20 min/visit</t>
  </si>
  <si>
    <t>Table below multiplies the vlow-low-mid-max distributions by the VSL-based cost for the injury severity level indicated</t>
  </si>
  <si>
    <t>minimum value P=0 (allowance for temp. visitation)</t>
  </si>
  <si>
    <t xml:space="preserve">Summary - within area of impact, calculate per person consequence </t>
  </si>
  <si>
    <t>wtd avg $ equivalence (VSL-based) per person</t>
  </si>
  <si>
    <t xml:space="preserve">regulatory actions/fines/cost of new regs </t>
  </si>
  <si>
    <t xml:space="preserve"> on-site and off-site property damage [incl. damage to adjacent eqpt and further business/service impacts] </t>
  </si>
  <si>
    <t>degradation of product/service quality</t>
  </si>
  <si>
    <t>relocation/reimbursement</t>
  </si>
  <si>
    <t xml:space="preserve">loss of goodwill/public reputation </t>
  </si>
  <si>
    <t xml:space="preserve"> litigation costs</t>
  </si>
  <si>
    <t>increased cost of insurance</t>
  </si>
  <si>
    <t>business interruption/service interruption cost, loss of market share/loss of customers</t>
  </si>
  <si>
    <t>ability to compensate for flow/service loss</t>
  </si>
  <si>
    <t>cost of cascading business risk [interruption of flow/feed to the next point curtails that activity as well]</t>
  </si>
  <si>
    <t>deployment costs for emergency response personnel</t>
  </si>
  <si>
    <t>emergency response and incident management cost</t>
  </si>
  <si>
    <t xml:space="preserve">equipment repair and restoration </t>
  </si>
  <si>
    <t>product lost during leak</t>
  </si>
  <si>
    <t>low estimate</t>
  </si>
  <si>
    <t>high estimate</t>
  </si>
  <si>
    <t>other (list and estimate)</t>
  </si>
  <si>
    <t>total estimate low/high</t>
  </si>
  <si>
    <t>Cost Category</t>
  </si>
  <si>
    <t>mid-range est</t>
  </si>
  <si>
    <t>Guidance:   lo-mid-hi should be operator's estimate of P95 (low) P50 (mid) and P5 (high) - in other words, a cost consequence experienced in 95% or 5% of events</t>
  </si>
  <si>
    <t>Operators may skew the distribution and add columns for identifying the P-values.  For example, an operator may choose to indicate the mid-range P-value is something between P30 and P70</t>
  </si>
  <si>
    <t>The idea is to widely bracket potential consequence values, using a logarithmic or related power-law basis.  By doing this, the operator is estimating that the potential consequence, say, for equipment repair and restoration is, in probably 95% of cases, at least $1,000,000 and at most (in 95% of cases) no more than $10,000,000, with an estimated most likely value of around $3,000,000.</t>
  </si>
  <si>
    <t xml:space="preserve">final  </t>
  </si>
  <si>
    <t>index</t>
  </si>
  <si>
    <t xml:space="preserve">population </t>
  </si>
  <si>
    <t>2017 VSL-based $</t>
  </si>
  <si>
    <t>v. low</t>
  </si>
  <si>
    <t>any injury</t>
  </si>
  <si>
    <t>Valued Environmental Component, or VEC</t>
  </si>
  <si>
    <t>$1128/metric ton (PHMSA IFR RIA)</t>
  </si>
  <si>
    <t>potential for $1 million per event site, multiplied by contaminant type and release volume index</t>
  </si>
  <si>
    <t>thousands to tens of thousands of dollars per acre impacted per year, multiplied by usage density (water well count as a proxy) - rough average of ~$2100/acre/yr</t>
  </si>
  <si>
    <t>thousands to tens of thousands of $ per acre impacted (probable range $2000-$13000/acre/yr); requires review of land use in the area</t>
  </si>
  <si>
    <t>Min-Max Estimates</t>
  </si>
  <si>
    <t>tens of $/cubic yd up to ~($100/cubic yd) * 30 day vol factor * 11,060  [note, 11060 yds is perimeter of a circle of 1 mile radius]; note multiplier for soil/rock type in substrate</t>
  </si>
  <si>
    <t xml:space="preserve">volume  </t>
  </si>
  <si>
    <t>P distribution</t>
  </si>
  <si>
    <t>if not default</t>
  </si>
  <si>
    <t>30-day volume                        radius of impact</t>
  </si>
  <si>
    <t xml:space="preserve">max </t>
  </si>
  <si>
    <t>per Bcf emitted and total effect on 2010 acres (circle with r=1 mile); minimum is for less than 10 mmcf</t>
  </si>
  <si>
    <t>Cost of lost/damaged homes</t>
  </si>
  <si>
    <t>Home air/local water source monitoring</t>
  </si>
  <si>
    <t>Injury/Illness Costs</t>
  </si>
  <si>
    <t>Fatalities</t>
  </si>
  <si>
    <t>Greenhouse emissions</t>
  </si>
  <si>
    <t>Wildlife/endangered species impact</t>
  </si>
  <si>
    <t>Soil impact</t>
  </si>
  <si>
    <t>already addressed in the Safety tab</t>
  </si>
  <si>
    <t>already addressed in the Environmental tab</t>
  </si>
  <si>
    <t>Clean up of toxic release/clean up of pollution</t>
  </si>
  <si>
    <t>contamination of water supply</t>
  </si>
  <si>
    <t>min/max basis</t>
  </si>
  <si>
    <t>&gt;10</t>
  </si>
  <si>
    <t>min 1 mmcf emitted, max 1-10 Bcf emitted, cost is per mile radius</t>
  </si>
  <si>
    <t>cost per mile radius</t>
  </si>
  <si>
    <t>cost per Bcf emitted and per mile radius</t>
  </si>
  <si>
    <t>Operator example:</t>
  </si>
  <si>
    <t xml:space="preserve">P95 (low) </t>
  </si>
  <si>
    <t>P50 (mid)</t>
  </si>
  <si>
    <t>P5 (high)</t>
  </si>
  <si>
    <t>impact area multiplier?</t>
  </si>
  <si>
    <t>Total</t>
  </si>
  <si>
    <t>Adjustments</t>
  </si>
  <si>
    <t>Wtd 2017 VSL-based $</t>
  </si>
  <si>
    <t xml:space="preserve">30d-vol index </t>
  </si>
  <si>
    <t>value</t>
  </si>
  <si>
    <t xml:space="preserve">  insert volume index and population index</t>
  </si>
  <si>
    <t>P95 (low)</t>
  </si>
  <si>
    <t>Sum (Millions)</t>
  </si>
  <si>
    <t>CALCULATION EXAMPLE:</t>
  </si>
  <si>
    <t>Suggestions:  P95 should be &lt;0.1 to 0.5 of P50</t>
  </si>
  <si>
    <t>see inputs at cells in orange below</t>
  </si>
  <si>
    <t>Instructions:</t>
  </si>
  <si>
    <t>find volume index based on 30-day release potential</t>
  </si>
  <si>
    <t>find/estimate population density in the local vicinity (averaged over an 8-10 mile radius)</t>
  </si>
  <si>
    <t xml:space="preserve">Operators may range P95 (low) to P5 (high) </t>
  </si>
  <si>
    <t>Safety - Surface Release and Fire</t>
  </si>
  <si>
    <t>using diameter and pressure:</t>
  </si>
  <si>
    <t>using AOF at MOP:</t>
  </si>
  <si>
    <t>API 581:  consequence area (sq ft) = a*X^b</t>
  </si>
  <si>
    <t>where X=mass rate in lb/sec</t>
  </si>
  <si>
    <t>find/estimate population within the smallest radius (in feet) that fully encompasses the heat impact radius zone</t>
  </si>
  <si>
    <t>line/casing diameter (inches)</t>
  </si>
  <si>
    <t>max operating pressure (psi)</t>
  </si>
  <si>
    <t>AOF at MOP (Mmcf/d)</t>
  </si>
  <si>
    <t>Methane lbs/sec</t>
  </si>
  <si>
    <t>Consequence Area (sq ft)</t>
  </si>
  <si>
    <t>Consequence Radius (ft)</t>
  </si>
  <si>
    <t>Resulting consequence value (green), can be considered an approximate mid-point at a P50 or P30-P70 value</t>
  </si>
  <si>
    <t xml:space="preserve">Adjusted </t>
  </si>
  <si>
    <t>Radius (ft)</t>
  </si>
  <si>
    <t>psi-diameter based radius (ft)</t>
  </si>
  <si>
    <t>Safety factor adjustment for elliptical heat impact and combustible non-methane components</t>
  </si>
  <si>
    <t>calculate/compare heat impact radius:  max of well AOF at MOP, connecting line diameter and MOP, or casing size and MOP</t>
  </si>
  <si>
    <t>constants used assume methane and 4000 BTU/hr-ft2</t>
  </si>
  <si>
    <t>NOTE:  an ellipse with a/b=.25 gives a long axis of 2*radius of equivalent-area circle</t>
  </si>
  <si>
    <t>NOTE:  for C3+ components, some of which will produce more heat, operators can additionally increase the SF</t>
  </si>
  <si>
    <t>operator selects safety factor (SF) for non-circular (elliptical heat flux pattern with equivalent area</t>
  </si>
  <si>
    <t>provide inputs at cells in orange below; green cells are outputs</t>
  </si>
  <si>
    <t>Select radius below that encompasses the selected heat-impact consequence radius:</t>
  </si>
  <si>
    <t>operator's estimate of number of persons living within the tier radius</t>
  </si>
  <si>
    <t>minimum value if no residents (annual presence of maintenance workers)</t>
  </si>
  <si>
    <t>tier radius (operator select)</t>
  </si>
  <si>
    <t>P5 (max)</t>
  </si>
  <si>
    <t>in millions:</t>
  </si>
  <si>
    <t>Safety consequences (based on injury severity potential and distribution):</t>
  </si>
  <si>
    <t>P95</t>
  </si>
  <si>
    <t>P5</t>
  </si>
  <si>
    <t>Service, Reliability, Financial Consequence Potential</t>
  </si>
  <si>
    <t>Consequence of Failure Booklet of Worksheets</t>
  </si>
  <si>
    <t>Safety-SurfaceFire Calc</t>
  </si>
  <si>
    <t xml:space="preserve">Safety - Subsurface </t>
  </si>
  <si>
    <t>Environmental Calc</t>
  </si>
  <si>
    <t>Service-Reliability-Financial</t>
  </si>
  <si>
    <t>Go to the following worksheets, follow the instructions and enter the information required in the orange cells</t>
  </si>
  <si>
    <t>Go to the summary sheet and identify the main consequence driver areas</t>
  </si>
  <si>
    <t>Use this information in planning risk management plans</t>
  </si>
  <si>
    <t>follow the spreadsheet to get an estimate and range of safety-related consequences due to heat impact</t>
  </si>
  <si>
    <t>if population is zero:</t>
  </si>
  <si>
    <t>Instructions:  see guidance notes below the table and provide estimates for the applicable categories listed in the table.  Do not add categories already covered by safety and/or environmental worksheets</t>
  </si>
  <si>
    <t>Environmental Consequences Worksheet</t>
  </si>
  <si>
    <t>Instructions:  provide approximations/evaluations for the valued environmental components listed in the table below.</t>
  </si>
  <si>
    <t>Valuations can be developed (esitmated) given the basis for calculations described in the table.</t>
  </si>
  <si>
    <t>Operators may change the basis for a particular area or site but note the change in the basis.</t>
  </si>
  <si>
    <t>See the volume index table and methane converter table at the bottom of this sheet</t>
  </si>
  <si>
    <t>Operators might find that many of the line items have similar values and ranges for many wells.  Operators can choose to use default values that are appropriate to their areas/systems for many of the line items in the table</t>
  </si>
  <si>
    <t>r=.685*(p*d^2)^0.5    (assumes 5000 BTU/hr-ft2, 1% lethality 30 second escape time)</t>
  </si>
  <si>
    <t>such that both well line and well are flowing (thus PIR can apply)</t>
  </si>
  <si>
    <t xml:space="preserve">consider that in many cases of a surface release, we could have a break between wellhead and line </t>
  </si>
  <si>
    <t>observation wells</t>
  </si>
  <si>
    <t xml:space="preserve">wells that are very weak - might also look at pipeline connection size, use the smaller of the diameters, either well tubing/casing or flowline </t>
  </si>
  <si>
    <t>operator inputs ranges based on calculated number in cell b46</t>
  </si>
  <si>
    <t>operators can change the distribution weightings</t>
  </si>
  <si>
    <t>Suggestions:  P5 should be at least 2-3X P50 and up to 10x P50</t>
  </si>
  <si>
    <r>
      <rPr>
        <b/>
        <sz val="11"/>
        <color theme="1"/>
        <rFont val="Calibri"/>
        <family val="2"/>
        <scheme val="minor"/>
      </rPr>
      <t>Table 2</t>
    </r>
    <r>
      <rPr>
        <sz val="11"/>
        <color theme="1"/>
        <rFont val="Calibri"/>
        <family val="2"/>
        <scheme val="minor"/>
      </rPr>
      <t xml:space="preserve"> below multiplies the vlow-low-mid-max distributions by the VSL-based cost for the injury severity level indicated</t>
    </r>
  </si>
  <si>
    <t>hard-coded per person minimum case of worker visits and no permanent residents</t>
  </si>
  <si>
    <t>hard-coded min-mid-max based on Table 2 below</t>
  </si>
  <si>
    <r>
      <rPr>
        <b/>
        <sz val="11"/>
        <color theme="1"/>
        <rFont val="Calibri"/>
        <family val="2"/>
        <scheme val="minor"/>
      </rPr>
      <t xml:space="preserve">Table 1 </t>
    </r>
    <r>
      <rPr>
        <sz val="11"/>
        <color theme="1"/>
        <rFont val="Calibri"/>
        <family val="2"/>
        <scheme val="minor"/>
      </rPr>
      <t>- basic input from industry statistics (pipeline) and US Govt "VSL":</t>
    </r>
  </si>
  <si>
    <t>- however, operators can change the distribution in cells beneath Table 2</t>
  </si>
  <si>
    <t>sum (millions)</t>
  </si>
  <si>
    <t>sum all</t>
  </si>
  <si>
    <t>comparison using low-high estimates for wtd VSL basis:</t>
  </si>
  <si>
    <t>high</t>
  </si>
  <si>
    <t>vlow</t>
  </si>
  <si>
    <t>NOTE:</t>
  </si>
  <si>
    <t>mid-hi</t>
  </si>
  <si>
    <t>P70</t>
  </si>
  <si>
    <t>P35</t>
  </si>
  <si>
    <t xml:space="preserve">using a four point distribution and values in Table 1 above, </t>
  </si>
  <si>
    <t xml:space="preserve">operators could infer an alternative distribution </t>
  </si>
  <si>
    <t>COF = (COFsafety + COFenvironment + COFfinancial )*credit</t>
  </si>
  <si>
    <t>examples of specific company frameworks - #1</t>
  </si>
  <si>
    <t>examples of specific company frameworks - #2</t>
  </si>
  <si>
    <t>Summary of example Environmental Consequence matrix</t>
  </si>
  <si>
    <t>example company #1</t>
  </si>
  <si>
    <t>example company #2</t>
  </si>
  <si>
    <t>lo-mid-hi should be operator's estimate of P95 (low) P50 (mid) and P5 (high) - in other words, a cost consequence experienced in 95% or 5% of events.  Operators may skew the distribution and add columns for identifying the P-values.  For example, an operator may choose to indicate the mid-range P-value is something between P30 and P70</t>
  </si>
  <si>
    <t>The idea is to widely bracket potential consequence values, using a logarithmic or related power-law basis.  By doing this, the operator is estimating that the potential consequence, say, for equipment repair and restoration is, in probably 95% of cases, at least $xxx and at most (in 95% of cases) no more than $xxxxx, with an estimated most likely value of around $xxxxx.</t>
  </si>
  <si>
    <t>Guidance:   operators might have internal/corporate means of estimating environmental consequences and can range accordingly.  In the absence of clear company methods for estimates of potential environmental consequences, the values on this sheet can be used, and ranged as per the additional guidance below</t>
  </si>
  <si>
    <t>severe-fatal</t>
  </si>
  <si>
    <t>serious-fatal</t>
  </si>
  <si>
    <t>critical-fatal</t>
  </si>
  <si>
    <t>VSL wtd on k65</t>
  </si>
  <si>
    <t>Range of consequence levels for each</t>
  </si>
  <si>
    <t>Intermediate Consequence Case Characteristics</t>
  </si>
  <si>
    <t>Low Consequence Case Characteristics</t>
  </si>
  <si>
    <t>High Consequence Case Characteristics</t>
  </si>
  <si>
    <t>Four well construction styles, already ranged with respect to LOFI</t>
  </si>
  <si>
    <t>9-mile radius population density</t>
  </si>
  <si>
    <t>AOF (MMcfd) at MOP (used MOP of 2000)</t>
  </si>
  <si>
    <t>30-day flow volume (MMcf)</t>
  </si>
  <si>
    <t>Applicable Radius</t>
  </si>
  <si>
    <t>100+ (use 300)</t>
  </si>
  <si>
    <t>over 1000 (use 3000)</t>
  </si>
  <si>
    <t>300 or less (use 90)</t>
  </si>
  <si>
    <t>301-1000 or less (use 600)</t>
  </si>
  <si>
    <t>25-99 (use 60)</t>
  </si>
  <si>
    <t>30 or less (use 10)</t>
  </si>
  <si>
    <t>32-36' (api 581) or 153-310' CFER</t>
  </si>
  <si>
    <t>153-198' (api 581) or 153-310' CFER</t>
  </si>
  <si>
    <t>73-89' (api 581) or 153-310' CFER</t>
  </si>
  <si>
    <t>Use JITF COFI  Tier</t>
  </si>
  <si>
    <t>safety factor</t>
  </si>
  <si>
    <t>2.2 (2.2*89=196)</t>
  </si>
  <si>
    <t>2 (2*36 = 72)</t>
  </si>
  <si>
    <t>2.5 (2.5*198=485)</t>
  </si>
  <si>
    <t>Nearby Population Density people/sq mi</t>
  </si>
  <si>
    <t>Avg Pop inside radius of concern</t>
  </si>
  <si>
    <t>Service/Reliability/Financial</t>
  </si>
  <si>
    <t>Surf Release/Fire Safety</t>
  </si>
  <si>
    <t>Subsurf Release Safety</t>
  </si>
  <si>
    <t>&lt;10'</t>
  </si>
  <si>
    <t>2 (2*10=20)</t>
  </si>
  <si>
    <t>&lt;1 (use 1)</t>
  </si>
  <si>
    <t>Safety - surface fire</t>
  </si>
  <si>
    <t>Environmental - Surface Fire</t>
  </si>
  <si>
    <t>Financial - Surface Fire</t>
  </si>
  <si>
    <t>Safety Subsurf/Extend Surf</t>
  </si>
  <si>
    <t>Enviro - Subsurf/Ext Surf</t>
  </si>
  <si>
    <t>Estimate - Surface Fire Cons</t>
  </si>
  <si>
    <t>Estimate - Subsurf/Ext Surf</t>
  </si>
  <si>
    <t>Loss of Control Event During Workover - high consequence case</t>
  </si>
  <si>
    <t>Loss of Control Event During Workover - low consequence case</t>
  </si>
  <si>
    <t>Loss of Control Event During Workover - min consequence case</t>
  </si>
  <si>
    <t>5 represents number of workers on site</t>
  </si>
  <si>
    <t>Mitigation Value Cases</t>
  </si>
  <si>
    <t>see mitigaton routine below</t>
  </si>
  <si>
    <t>lo</t>
  </si>
  <si>
    <t>Surface Event, Fire:  Low Reliability</t>
  </si>
  <si>
    <t>Surface Event, Fire:  Mid Reliability</t>
  </si>
  <si>
    <t>Surface Event, Fire:  Hi Reliability</t>
  </si>
  <si>
    <t>GHG emissions social costs - low Rel</t>
  </si>
  <si>
    <t>GHG emissions social costs -hi Rel</t>
  </si>
  <si>
    <t>Fluid Flow/Toxins/Pollutants - low Rel</t>
  </si>
  <si>
    <t>Fluid Flow/Toxins/Pollutants -mid Rel</t>
  </si>
  <si>
    <t>Fluid Flow/Toxins/Pollutants -hi Rel</t>
  </si>
  <si>
    <t>Service/Financial - low Rel</t>
  </si>
  <si>
    <t>Service/Financial - mid Rel</t>
  </si>
  <si>
    <t>Service/Financial - hi Rel</t>
  </si>
  <si>
    <t>low reliability</t>
  </si>
  <si>
    <t>mid reliability</t>
  </si>
  <si>
    <t>hi reliability</t>
  </si>
  <si>
    <t>All Consequences-lowRel</t>
  </si>
  <si>
    <t>All Consequences-midRel</t>
  </si>
  <si>
    <t>All Consequences-hiRel</t>
  </si>
  <si>
    <t>Total Consequences Est</t>
  </si>
  <si>
    <t>Surface Events-lowRel</t>
  </si>
  <si>
    <t>Surface Events-midRel</t>
  </si>
  <si>
    <t>Surface Events-hiRel</t>
  </si>
  <si>
    <t>Service/Fin - low Rel</t>
  </si>
  <si>
    <t>Service/Fin mid Rel</t>
  </si>
  <si>
    <t>Service/Fin - hi Rel</t>
  </si>
  <si>
    <t>low Rel</t>
  </si>
  <si>
    <t>mid Rel</t>
  </si>
  <si>
    <t>hi Rel</t>
  </si>
  <si>
    <t>set as Not Applicable</t>
  </si>
  <si>
    <t>set as Not Applicable*</t>
  </si>
  <si>
    <t>*although a downhole event could occur during workover, we judge this to be a very low likelihood event and thus consequences minimally additive to this scenario</t>
  </si>
  <si>
    <t>Loss of Control Event During Workover - intmd consequence case</t>
  </si>
  <si>
    <t>Financial - Subsurf/Ext Surf</t>
  </si>
  <si>
    <t>safety pct</t>
  </si>
  <si>
    <t>enviro pct</t>
  </si>
  <si>
    <t>service pct</t>
  </si>
  <si>
    <t>Estimate - Surface LOC Event Consequences</t>
  </si>
  <si>
    <t>Workover Loss of Containment Event COFI</t>
  </si>
  <si>
    <t>same as base COFI cases</t>
  </si>
  <si>
    <t>but add 5 persons for rig site workers</t>
  </si>
  <si>
    <t>Well Type</t>
  </si>
  <si>
    <t>Minimum LOFI (failure/well-yr)</t>
  </si>
  <si>
    <t>Maximum LOFI (failure/well-yr)</t>
  </si>
  <si>
    <t>problem well</t>
  </si>
  <si>
    <t>ideal well</t>
  </si>
  <si>
    <t>hi case</t>
  </si>
  <si>
    <t>intmd case</t>
  </si>
  <si>
    <t>low case</t>
  </si>
  <si>
    <t>min case</t>
  </si>
  <si>
    <t>LOFImax x COFI</t>
  </si>
  <si>
    <t>LOFImin x COFI</t>
  </si>
  <si>
    <t>Annualized estimated risk</t>
  </si>
  <si>
    <t>loRel</t>
  </si>
  <si>
    <t>midRel</t>
  </si>
  <si>
    <t>hiRel</t>
  </si>
  <si>
    <t>MAX LOFI</t>
  </si>
  <si>
    <t>conseqnce</t>
  </si>
  <si>
    <t>What part of the remaining risk is safety? (or what part of</t>
  </si>
  <si>
    <t>the risk reduced is safety?)</t>
  </si>
  <si>
    <t>MIN LOFI</t>
  </si>
  <si>
    <t>Risk Reduction Values in blue</t>
  </si>
  <si>
    <t>Risk Reduction Total</t>
  </si>
  <si>
    <t>Safety Portion</t>
  </si>
  <si>
    <t>Environmental Portion</t>
  </si>
  <si>
    <t>Service/Financial/Reliability Portion</t>
  </si>
  <si>
    <t xml:space="preserve">Fsv-intervention  </t>
  </si>
  <si>
    <t>LOC tbghi</t>
  </si>
  <si>
    <t>LOCwlhi</t>
  </si>
  <si>
    <t>LOCtbglo</t>
  </si>
  <si>
    <t>LOCwllo</t>
  </si>
  <si>
    <t>Workover Related Annualized COFI</t>
  </si>
  <si>
    <t>LOC tbghi (max values)</t>
  </si>
  <si>
    <t>Workover Risk - COFI Estimates</t>
  </si>
  <si>
    <t>Workover LOF:  Fsv-intervention x InterventionLOC</t>
  </si>
  <si>
    <r>
      <rPr>
        <b/>
        <sz val="11"/>
        <color theme="1"/>
        <rFont val="Calibri"/>
        <family val="2"/>
        <scheme val="minor"/>
      </rPr>
      <t>MIN LOFI</t>
    </r>
    <r>
      <rPr>
        <sz val="11"/>
        <color theme="1"/>
        <rFont val="Calibri"/>
        <family val="2"/>
        <scheme val="minor"/>
      </rPr>
      <t xml:space="preserve"> Case - Safety Consequence Reduction - annualized expected value</t>
    </r>
  </si>
  <si>
    <r>
      <rPr>
        <b/>
        <sz val="11"/>
        <color theme="1"/>
        <rFont val="Calibri"/>
        <family val="2"/>
        <scheme val="minor"/>
      </rPr>
      <t>MIN LOFI</t>
    </r>
    <r>
      <rPr>
        <sz val="11"/>
        <color theme="1"/>
        <rFont val="Calibri"/>
        <family val="2"/>
        <scheme val="minor"/>
      </rPr>
      <t xml:space="preserve"> Case - Safety AND Enviro Cons Reduction - annualized expected value</t>
    </r>
  </si>
  <si>
    <r>
      <rPr>
        <b/>
        <sz val="11"/>
        <color theme="1"/>
        <rFont val="Calibri"/>
        <family val="2"/>
        <scheme val="minor"/>
      </rPr>
      <t>MAX LOFI</t>
    </r>
    <r>
      <rPr>
        <sz val="11"/>
        <color theme="1"/>
        <rFont val="Calibri"/>
        <family val="2"/>
        <scheme val="minor"/>
      </rPr>
      <t xml:space="preserve"> Case - Safety AND Enviro Cons Reduction - annualized expected value</t>
    </r>
  </si>
  <si>
    <r>
      <rPr>
        <b/>
        <sz val="11"/>
        <color theme="1"/>
        <rFont val="Calibri"/>
        <family val="2"/>
        <scheme val="minor"/>
      </rPr>
      <t>MAX LOFI</t>
    </r>
    <r>
      <rPr>
        <sz val="11"/>
        <color theme="1"/>
        <rFont val="Calibri"/>
        <family val="2"/>
        <scheme val="minor"/>
      </rPr>
      <t xml:space="preserve"> Case - Safety Consequence Reduction - annualized expected value</t>
    </r>
  </si>
  <si>
    <t>Workover Related Annualized COFI, assuming ALL re-entries with increased risk due to complexity</t>
  </si>
  <si>
    <t>including all re-entries due to complexity:</t>
  </si>
  <si>
    <t>High population - low rate, big volume Consequence Case Characteristics</t>
  </si>
  <si>
    <t>moderately low population -high rate high volume Consequence Case Characteristics</t>
  </si>
  <si>
    <t>very low population - high rate high volume consequence case</t>
  </si>
  <si>
    <t>use 300</t>
  </si>
  <si>
    <t>Intermediate population - low rate, big volume Consequence Case Characteristics</t>
  </si>
  <si>
    <t xml:space="preserve">radius </t>
  </si>
  <si>
    <t>sq mi</t>
  </si>
  <si>
    <t>fractional sq mi</t>
  </si>
  <si>
    <t>population inside radius tier</t>
  </si>
  <si>
    <t>radius tier area sq ft</t>
  </si>
  <si>
    <t>sq mi area in sq ft</t>
  </si>
  <si>
    <t>avg inc rate</t>
  </si>
  <si>
    <t>round/avg</t>
  </si>
  <si>
    <t>changed distribution scheme 1-22-20 (aligned to approximate PL 20-yr min dist)</t>
  </si>
  <si>
    <t>changed to 3% (DOT), 2020 values</t>
  </si>
  <si>
    <t>1 in 730 chance of critical injury</t>
  </si>
  <si>
    <t>1 in 1300 chance of fatality</t>
  </si>
  <si>
    <t>1 in 50 chance of minor to moderate injury</t>
  </si>
  <si>
    <t>1 in 1 chance of no or insignif injury</t>
  </si>
  <si>
    <t>1 in 90 chance of serious injury</t>
  </si>
  <si>
    <t>1 in 290 chance of severe injury</t>
  </si>
  <si>
    <t xml:space="preserve">changed distribution </t>
  </si>
  <si>
    <t>92-115' (api 581) or 225-450' CFER</t>
  </si>
  <si>
    <t>use 2400</t>
  </si>
  <si>
    <t>2.5 (2.5*115 = 288); 2.5*225=563</t>
  </si>
  <si>
    <t>CA</t>
  </si>
  <si>
    <t>case 1</t>
  </si>
  <si>
    <t>case 2</t>
  </si>
  <si>
    <t>case 3</t>
  </si>
  <si>
    <t>case 4</t>
  </si>
  <si>
    <t>Well Type Case 1</t>
  </si>
  <si>
    <t>Well Type Case 2</t>
  </si>
  <si>
    <t>Well Type Case 3</t>
  </si>
  <si>
    <t>Well Type Case 4</t>
  </si>
  <si>
    <t>Well Type Case 1 LOFI = .009742</t>
  </si>
  <si>
    <t>Well Type Case 2 LOFI = .002363</t>
  </si>
  <si>
    <t>Well Type Case 3 LOFI = .000302</t>
  </si>
  <si>
    <t>Well Type Case 4 LOFI = .000022</t>
  </si>
  <si>
    <t>LOFI = ~1.0000</t>
  </si>
  <si>
    <t>LOFI = .000003</t>
  </si>
  <si>
    <t>Well Type Case 1 LOFI = .461212</t>
  </si>
  <si>
    <t>Well Type Case 2 LOFI = .010505</t>
  </si>
  <si>
    <t>Well Type Case 3 LOFI = .003446</t>
  </si>
  <si>
    <t>Well Type Case 4 LOFI = .000523</t>
  </si>
  <si>
    <t>miles from well</t>
  </si>
  <si>
    <t>Injury Level</t>
  </si>
  <si>
    <t>None-Insignif</t>
  </si>
  <si>
    <t>Probability</t>
  </si>
  <si>
    <t xml:space="preserve">Safety </t>
  </si>
  <si>
    <t xml:space="preserve">Environmental </t>
  </si>
  <si>
    <t xml:space="preserve">Financial </t>
  </si>
  <si>
    <t>ALL CONSEQUENCES REDUCTION, NET OF WO AND MGMT FACTORS AND ADD'L WELLS RISK</t>
  </si>
  <si>
    <t xml:space="preserve">GRI says 1992 workovers on all wells:  </t>
  </si>
  <si>
    <t>workovers</t>
  </si>
  <si>
    <t>1 workover/30 years (prob min, depends on price)</t>
  </si>
  <si>
    <t>unconventional wells, 1 workover every 10 years (probable minimum)</t>
  </si>
  <si>
    <t>GRI 1996 - 2.454 Mcf/workover conventional wells; 36.65 Mcf/completion conventional wells; 9175 Mcf/completion or workover unconventional wells</t>
  </si>
  <si>
    <t>2.04 scf/hr/component</t>
  </si>
  <si>
    <t>hrs/yr</t>
  </si>
  <si>
    <t>scf/yr</t>
  </si>
  <si>
    <t>.17/scf/hr/component</t>
  </si>
  <si>
    <t>GHG $/yr</t>
  </si>
  <si>
    <t>added for leakage:</t>
  </si>
  <si>
    <t>0.5% of volume and</t>
  </si>
  <si>
    <t>0.1 MMcf/yr</t>
  </si>
  <si>
    <t>BO duration, wtd financials calc (using offshore BO duration)</t>
  </si>
  <si>
    <t>blowout duration</t>
  </si>
  <si>
    <t>&lt;1 hr</t>
  </si>
  <si>
    <t>1 hr-6 hrs</t>
  </si>
  <si>
    <t>6hr- 24h</t>
  </si>
  <si>
    <t>1.01d-7d</t>
  </si>
  <si>
    <t>7.01d-30d</t>
  </si>
  <si>
    <t>sum tot</t>
  </si>
  <si>
    <t>use 13%</t>
  </si>
  <si>
    <t>Workover Risk - Add for worker injuries</t>
  </si>
  <si>
    <t>frac'l value</t>
  </si>
  <si>
    <t>$2017 - 685,405 per injury</t>
  </si>
  <si>
    <t>injury rates per well drilled or worked over-min .01</t>
  </si>
  <si>
    <t>GHG per workover:  average .0367mmcf*19.3*47</t>
  </si>
  <si>
    <t>GHG add, per add'l wo</t>
  </si>
  <si>
    <t>LOCtbg (min vaues)</t>
  </si>
  <si>
    <t>average midpt</t>
  </si>
  <si>
    <t>w/ Mid tbg annualized WO risk for all reentries</t>
  </si>
  <si>
    <t>W/Mid tbg ann net wo risk +wo inj (subtract from risk reduction)</t>
  </si>
  <si>
    <t>w/Mid tbg WO risk all reenty+mid hum/org  factors+other d/r costs</t>
  </si>
  <si>
    <t>w/Mid tbg WO risk all reenty+mid hum/org factors</t>
  </si>
  <si>
    <t>w/Mid tbg WO risk all reenty+mid hum/org factors+other d/r costs</t>
  </si>
  <si>
    <t>workover freq</t>
  </si>
  <si>
    <t>non blow-out injury consequence per add'l wo: lo-med-hi</t>
  </si>
  <si>
    <t>Consequence Case Assumptions for Battelle TP Studies</t>
  </si>
  <si>
    <t>vlo</t>
  </si>
  <si>
    <t>Residual Consequences: vlo</t>
  </si>
  <si>
    <t>Deliv reduction</t>
  </si>
  <si>
    <t>Functional Rel, TP system/yr, cells p66-69:</t>
  </si>
  <si>
    <t>Deliv reduct/retention values, 4 cases, cells N66-69 (cases 1-4)</t>
  </si>
  <si>
    <t>Surf Event, No Fire, + Subsurface Event, V. Low R</t>
  </si>
  <si>
    <t>Surf Event, No Fire, + Subsurface Event, Low R</t>
  </si>
  <si>
    <t>Surf Event, No Fire, + Subsurface Event, Mid R</t>
  </si>
  <si>
    <t>Surf Event, No Fire, + Subsurface Event, High R</t>
  </si>
  <si>
    <t>see above</t>
  </si>
  <si>
    <t>Soil, Vegetation, Water Health, vlo R</t>
  </si>
  <si>
    <t>GHG emissions social costs - vlo Rel</t>
  </si>
  <si>
    <t>GHG emissions social costs -mid Rel</t>
  </si>
  <si>
    <t xml:space="preserve">Subsurface Event </t>
  </si>
  <si>
    <t>Adjusted Residual Consequences w/ TP</t>
  </si>
  <si>
    <t>very low reliability</t>
  </si>
  <si>
    <t>Service/Financial Consequences</t>
  </si>
  <si>
    <t>Surface Event, Fire:  very Low Reliability</t>
  </si>
  <si>
    <t>very low Rel</t>
  </si>
  <si>
    <t>Service/Financial - v. low Rel</t>
  </si>
  <si>
    <t>Environmental Consequences</t>
  </si>
  <si>
    <t>Environmental Consequences Red, very low Rel.</t>
  </si>
  <si>
    <t>All Consequences-verylowRel</t>
  </si>
  <si>
    <t>TOTAL CONSEQUENCES</t>
  </si>
  <si>
    <t>Surface Events-verylowRel</t>
  </si>
  <si>
    <t>verylow Rel</t>
  </si>
  <si>
    <t>Soil, Vegetation, Water Health, low R</t>
  </si>
  <si>
    <t>Soil, Vegetation, Water Health, mid R</t>
  </si>
  <si>
    <t>Soil, Vegetation, Water Health, hi R</t>
  </si>
  <si>
    <t>all subsurf</t>
  </si>
  <si>
    <t>all surf</t>
  </si>
  <si>
    <t>check</t>
  </si>
  <si>
    <t>veryloRel</t>
  </si>
  <si>
    <t>TP reliablty</t>
  </si>
  <si>
    <t>Residual consequences w/TP</t>
  </si>
  <si>
    <t>veryloR</t>
  </si>
  <si>
    <t>Enviro portion</t>
  </si>
  <si>
    <t>use 4626 wo sfty + 7 woGHG</t>
  </si>
  <si>
    <t>4633 (see COF Case Characteristics(altex) sheet)</t>
  </si>
  <si>
    <t>Replacement Wells per Well w/TP installed</t>
  </si>
  <si>
    <t>used avg of 3x5 to 4x7 field "C" approx. values</t>
  </si>
  <si>
    <t>AOF - MMcfd</t>
  </si>
  <si>
    <t>Prob. Operating MMcfd</t>
  </si>
  <si>
    <t>Replacement Frac.</t>
  </si>
  <si>
    <t>Surface Flow Decrease</t>
  </si>
  <si>
    <t xml:space="preserve">Tubing Reliability </t>
  </si>
  <si>
    <t>very low</t>
  </si>
  <si>
    <t>1) used same LOFI types as other cases(4 Well Types with LOFImax and LOFI min plus ideal well and problem well for a total of 10 LOFI cases) and same 12 consequence cases</t>
  </si>
  <si>
    <t>2) used same analysis of workover for tubing and SSSV, but used SSSV re-entry rates since workovers for SSSV are more frequent than for TP</t>
  </si>
  <si>
    <t>3) workover LOC risk is factored into the net risk change, using the data from #2 above</t>
  </si>
  <si>
    <t>5) surface flow is diminished by the deliv reduction factors (Sandia/Lord study) to reduce AOF for surface events</t>
  </si>
  <si>
    <t>4) the reliability of the system for subsurface events is the 4-ranged tubing/packer very low, low, mid, and high of .875, .94, .9778, and .990116</t>
  </si>
  <si>
    <t>very low of .67</t>
  </si>
  <si>
    <t>low of .80</t>
  </si>
  <si>
    <t>mid of .905</t>
  </si>
  <si>
    <t xml:space="preserve">high of .985 </t>
  </si>
  <si>
    <t>SV reliability</t>
  </si>
  <si>
    <t>Residual Consequences after Mitigation with TP+SSSV</t>
  </si>
  <si>
    <t>Residual Consequences of Surface Events, w/ and w/o fire, mitigation with TP+SSSV</t>
  </si>
  <si>
    <t>Residual Consequences of SubSurface Events, w/ TP+SSSV</t>
  </si>
  <si>
    <t>checks</t>
  </si>
  <si>
    <t>TP/SV reliablty</t>
  </si>
  <si>
    <t>Residual consequences w/TP+SSSV</t>
  </si>
  <si>
    <t>Risk Reduction Due to TP+SSSV</t>
  </si>
  <si>
    <t>TP?SV reliablty</t>
  </si>
  <si>
    <t>$4Million new well, adjusted for mid-range SV reliability (.905)</t>
  </si>
  <si>
    <t>$1Million new well, adjusted for mid-range SV reliability(.905)</t>
  </si>
  <si>
    <t xml:space="preserve">6) the reliability of the system for surface events is a 4-ranged SSSV reliability across deep and shallow set SV reliability ranges: </t>
  </si>
  <si>
    <t>7) new replacement wells at $4M and $1M; class 4 type well at LOFImin, adjusted cost - divide by SV mid reliability of .905 (using the lower mid-reliability level of TP or SV)</t>
  </si>
  <si>
    <t>9) use net added workover costs</t>
  </si>
  <si>
    <t>10) add in other safety risk increase (a few thousand dollars) and greenhouse gas costs (a few dollars) - these are generally insignificant to the outcome but added to the net risk change for completeness</t>
  </si>
  <si>
    <t>8) well deliverability replacement factors - used Sandia/Lord study but high end of curves (rather than mid-points used in other studies) since expected lower reliability for TP+SV than for either SV or TP alone</t>
  </si>
  <si>
    <t>well AOF</t>
  </si>
  <si>
    <t>for replacement well factors:</t>
  </si>
  <si>
    <t>typ avg flow</t>
  </si>
  <si>
    <t>range</t>
  </si>
  <si>
    <t>reduction</t>
  </si>
  <si>
    <t>46-62</t>
  </si>
  <si>
    <t>pick for this study</t>
  </si>
  <si>
    <t>0-?</t>
  </si>
  <si>
    <t>0-3</t>
  </si>
  <si>
    <t>1-16</t>
  </si>
  <si>
    <t>12-50</t>
  </si>
  <si>
    <t>24-42</t>
  </si>
  <si>
    <t>20-60</t>
  </si>
  <si>
    <t>11-50</t>
  </si>
  <si>
    <t>see notes for replacement fractions</t>
  </si>
  <si>
    <t>Deliverability Impairment Estimates for TP + SSSV Systems</t>
  </si>
  <si>
    <t>Replacement Fraction</t>
  </si>
  <si>
    <t>Pick for TP+SSSV</t>
  </si>
  <si>
    <t>see notes for well replacement fraction</t>
  </si>
  <si>
    <t>Adjusted Residual Consequences w/ TP+SSSV</t>
  </si>
  <si>
    <t>area PI*r^2</t>
  </si>
  <si>
    <t>pop/sq mi</t>
  </si>
  <si>
    <t>pop in 660' radius</t>
  </si>
  <si>
    <t>330'radius</t>
  </si>
  <si>
    <t>165'rad</t>
  </si>
  <si>
    <t>rate</t>
  </si>
  <si>
    <t>1000-10000</t>
  </si>
  <si>
    <t>persons per sq mi</t>
  </si>
  <si>
    <t>vol index</t>
  </si>
  <si>
    <t>alt vol index</t>
  </si>
  <si>
    <t>see notes tab</t>
  </si>
  <si>
    <t xml:space="preserve">see notes tab for mitigation rationale </t>
  </si>
  <si>
    <t>see notes tab for mitigation rationale</t>
  </si>
  <si>
    <t>wtd avg?</t>
  </si>
  <si>
    <t>various avgs</t>
  </si>
  <si>
    <t>sum of moderate+</t>
  </si>
  <si>
    <t>sum of all</t>
  </si>
  <si>
    <t>ratios</t>
  </si>
  <si>
    <t>distribution estimate doodles</t>
  </si>
  <si>
    <t xml:space="preserve"> Environmental Consequence Category</t>
  </si>
  <si>
    <t>est. max for workovers</t>
  </si>
  <si>
    <t>pressure relief valve (see table at below, left from GRI)</t>
  </si>
  <si>
    <t>Rtp=1-Ftp</t>
  </si>
  <si>
    <t>Ftp</t>
  </si>
  <si>
    <t>MTTF or MTTR</t>
  </si>
  <si>
    <t xml:space="preserve">row category fraction of total consequences </t>
  </si>
  <si>
    <t>pct of total consequence</t>
  </si>
  <si>
    <t>subsurface fraction of all consequences</t>
  </si>
  <si>
    <t>residual conseqeunces as fraction of initial total consequences</t>
  </si>
  <si>
    <t>Residual surface consequences as fraction of initial surface w/ and w/o fire consequences</t>
  </si>
  <si>
    <t>Residual surface consequences as fraction of initial surface w/fire consequences</t>
  </si>
  <si>
    <t>Loss of Control Event During Workover - case 1 (col D)</t>
  </si>
  <si>
    <t>Loss of Control Event During Workover - case 2 (col E)</t>
  </si>
  <si>
    <t>Loss of Control Event During Workover - case 3 (col F)</t>
  </si>
  <si>
    <t>Loss of Control Event During Workover - case 4 (col G)</t>
  </si>
  <si>
    <t>hi regional-mod local population, strong flow and volume consequence case</t>
  </si>
  <si>
    <t xml:space="preserve"> hi regional-lo local population strong flow and volume consequence case</t>
  </si>
  <si>
    <t>Intermediate regional population - mod local population  strong flow and volume consequence case characteristics</t>
  </si>
  <si>
    <t>Intermediate regional population - low local population strong flow and volume consequence case characteristics</t>
  </si>
  <si>
    <t>Loss of Control Event During Workover - case 1 (col C)</t>
  </si>
  <si>
    <t>Loss of Control Event During Workover - case 2 (col D)</t>
  </si>
  <si>
    <t>Loss of Control Event During Workover - case 3 (col E)</t>
  </si>
  <si>
    <t>Loss of Control Event During Workover - case 4 (col 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</si>
</sst>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8" formatCode="&quot;$&quot;#,##0.00_);[Red]\(&quot;$&quot;#,##0.00\)"/>
    <numFmt numFmtId="164" formatCode="0.000"/>
    <numFmt numFmtId="165" formatCode="0.0000"/>
    <numFmt numFmtId="166" formatCode="0.000000"/>
    <numFmt numFmtId="167" formatCode="&quot;$&quot;#,##0"/>
    <numFmt numFmtId="168" formatCode="#,##0.0"/>
    <numFmt numFmtId="169" formatCode="0.0"/>
    <numFmt numFmtId="170" formatCode="0.00000"/>
    <numFmt numFmtId="171" formatCode="&quot;$&quot;#,##0.0"/>
    <numFmt numFmtId="172" formatCode="0.0000000"/>
    <numFmt numFmtId="173" formatCode="&quot;$&quot;#,##0.000"/>
  </numFmts>
  <fonts count="30" x14ac:knownFonts="1">
    <font>
      <sz val="11"/>
      <color theme="1"/>
      <name val="Calibri"/>
      <family val="2"/>
      <scheme val="minor"/>
    </font>
    <font>
      <sz val="11"/>
      <color rgb="FFC00000"/>
      <name val="Calibri"/>
      <family val="2"/>
      <scheme val="minor"/>
    </font>
    <font>
      <b/>
      <sz val="11"/>
      <color theme="1"/>
      <name val="Calibri"/>
      <family val="2"/>
      <scheme val="minor"/>
    </font>
    <font>
      <b/>
      <sz val="10"/>
      <color theme="1"/>
      <name val="Calibri"/>
      <family val="2"/>
      <scheme val="minor"/>
    </font>
    <font>
      <sz val="8"/>
      <color theme="1"/>
      <name val="Calibri"/>
      <family val="2"/>
      <scheme val="minor"/>
    </font>
    <font>
      <b/>
      <sz val="9"/>
      <color theme="1"/>
      <name val="Calibri"/>
      <family val="2"/>
      <scheme val="minor"/>
    </font>
    <font>
      <sz val="9"/>
      <color theme="1"/>
      <name val="Calibri"/>
      <family val="2"/>
      <scheme val="minor"/>
    </font>
    <font>
      <vertAlign val="superscript"/>
      <sz val="11"/>
      <color theme="1"/>
      <name val="Calibri"/>
      <family val="2"/>
      <scheme val="minor"/>
    </font>
    <font>
      <sz val="9"/>
      <color theme="1"/>
      <name val="Symbol"/>
      <family val="1"/>
      <charset val="2"/>
    </font>
    <font>
      <sz val="7"/>
      <color theme="1"/>
      <name val="Times New Roman"/>
      <family val="1"/>
    </font>
    <font>
      <i/>
      <sz val="9"/>
      <color theme="1"/>
      <name val="Calibri"/>
      <family val="2"/>
      <scheme val="minor"/>
    </font>
    <font>
      <b/>
      <sz val="10"/>
      <color rgb="FF000000"/>
      <name val="Calibri"/>
      <family val="2"/>
      <scheme val="minor"/>
    </font>
    <font>
      <sz val="11"/>
      <color rgb="FF000000"/>
      <name val="Calibri"/>
      <family val="2"/>
      <scheme val="minor"/>
    </font>
    <font>
      <sz val="10"/>
      <color rgb="FF000000"/>
      <name val="Calibri"/>
      <family val="2"/>
      <scheme val="minor"/>
    </font>
    <font>
      <b/>
      <sz val="10"/>
      <color theme="1"/>
      <name val="Times New Roman"/>
      <family val="1"/>
    </font>
    <font>
      <sz val="10"/>
      <color theme="1"/>
      <name val="Calibri"/>
      <family val="2"/>
      <scheme val="minor"/>
    </font>
    <font>
      <vertAlign val="subscript"/>
      <sz val="10"/>
      <color theme="1"/>
      <name val="Calibri"/>
      <family val="2"/>
      <scheme val="minor"/>
    </font>
    <font>
      <b/>
      <vertAlign val="superscript"/>
      <sz val="9"/>
      <color theme="1"/>
      <name val="Calibri"/>
      <family val="2"/>
      <scheme val="minor"/>
    </font>
    <font>
      <b/>
      <i/>
      <sz val="9"/>
      <color theme="1"/>
      <name val="Calibri"/>
      <family val="2"/>
      <scheme val="minor"/>
    </font>
    <font>
      <i/>
      <sz val="11"/>
      <color theme="1"/>
      <name val="Calibri"/>
      <family val="2"/>
      <scheme val="minor"/>
    </font>
    <font>
      <b/>
      <sz val="11"/>
      <name val="Calibri"/>
      <family val="2"/>
      <scheme val="minor"/>
    </font>
    <font>
      <b/>
      <sz val="11"/>
      <color rgb="FFC00000"/>
      <name val="Calibri"/>
      <family val="2"/>
      <scheme val="minor"/>
    </font>
    <font>
      <i/>
      <sz val="11"/>
      <color rgb="FFC00000"/>
      <name val="Calibri"/>
      <family val="2"/>
      <scheme val="minor"/>
    </font>
    <font>
      <sz val="11"/>
      <color theme="0" tint="-0.499984740745262"/>
      <name val="Calibri"/>
      <family val="2"/>
      <scheme val="minor"/>
    </font>
    <font>
      <b/>
      <i/>
      <sz val="11"/>
      <color theme="1"/>
      <name val="Calibri"/>
      <family val="2"/>
      <scheme val="minor"/>
    </font>
    <font>
      <sz val="11"/>
      <color rgb="FF0066FF"/>
      <name val="Calibri"/>
      <family val="2"/>
      <scheme val="minor"/>
    </font>
    <font>
      <b/>
      <sz val="11"/>
      <color theme="3"/>
      <name val="Calibri"/>
      <family val="2"/>
      <scheme val="minor"/>
    </font>
    <font>
      <sz val="9"/>
      <color indexed="81"/>
      <name val="Tahoma"/>
      <family val="2"/>
    </font>
    <font>
      <b/>
      <sz val="9"/>
      <color indexed="81"/>
      <name val="Tahoma"/>
      <family val="2"/>
    </font>
    <font>
      <sz val="11"/>
      <color rgb="FFFF0000"/>
      <name val="Calibri"/>
      <family val="2"/>
      <scheme val="minor"/>
    </font>
  </fonts>
  <fills count="26">
    <fill>
      <patternFill patternType="none"/>
    </fill>
    <fill>
      <patternFill patternType="gray125"/>
    </fill>
    <fill>
      <patternFill patternType="solid">
        <fgColor rgb="FFC4BC96"/>
        <bgColor indexed="64"/>
      </patternFill>
    </fill>
    <fill>
      <patternFill patternType="solid">
        <fgColor rgb="FFEEECE1"/>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DDD9C3"/>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CCCC"/>
        <bgColor indexed="64"/>
      </patternFill>
    </fill>
    <fill>
      <patternFill patternType="solid">
        <fgColor rgb="FFFFFF99"/>
        <bgColor indexed="64"/>
      </patternFill>
    </fill>
    <fill>
      <patternFill patternType="solid">
        <fgColor rgb="FFCCFF99"/>
        <bgColor indexed="64"/>
      </patternFill>
    </fill>
    <fill>
      <patternFill patternType="solid">
        <fgColor rgb="FFFFCC99"/>
        <bgColor indexed="64"/>
      </patternFill>
    </fill>
    <fill>
      <patternFill patternType="solid">
        <fgColor rgb="FFCCFFFF"/>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2" tint="-9.9978637043366805E-2"/>
        <bgColor indexed="64"/>
      </patternFill>
    </fill>
  </fills>
  <borders count="16">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366">
    <xf numFmtId="0" fontId="0" fillId="0" borderId="0" xfId="0"/>
    <xf numFmtId="164" fontId="0" fillId="0" borderId="0" xfId="0" applyNumberFormat="1"/>
    <xf numFmtId="0" fontId="0" fillId="0" borderId="0" xfId="0" applyAlignment="1">
      <alignment horizontal="right"/>
    </xf>
    <xf numFmtId="16" fontId="0" fillId="0" borderId="0" xfId="0" quotePrefix="1" applyNumberFormat="1"/>
    <xf numFmtId="0" fontId="0" fillId="0" borderId="0" xfId="0" quotePrefix="1"/>
    <xf numFmtId="0" fontId="1" fillId="0" borderId="0" xfId="0" applyFont="1"/>
    <xf numFmtId="165" fontId="0" fillId="0" borderId="0" xfId="0" applyNumberFormat="1"/>
    <xf numFmtId="1" fontId="0" fillId="0" borderId="0" xfId="0" applyNumberFormat="1"/>
    <xf numFmtId="0" fontId="0" fillId="0" borderId="1" xfId="0" applyBorder="1"/>
    <xf numFmtId="164" fontId="0" fillId="0" borderId="1" xfId="0" applyNumberFormat="1" applyBorder="1"/>
    <xf numFmtId="0" fontId="0" fillId="0" borderId="2" xfId="0" applyBorder="1"/>
    <xf numFmtId="164" fontId="0" fillId="0" borderId="2" xfId="0" applyNumberFormat="1" applyBorder="1"/>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4" fillId="0" borderId="8" xfId="0" applyFont="1" applyBorder="1" applyAlignment="1">
      <alignment vertical="center" wrapText="1"/>
    </xf>
    <xf numFmtId="0" fontId="4" fillId="0" borderId="7" xfId="0" applyFont="1" applyBorder="1" applyAlignment="1">
      <alignment vertical="center" wrapText="1"/>
    </xf>
    <xf numFmtId="0" fontId="0" fillId="0" borderId="7" xfId="0" applyBorder="1" applyAlignment="1">
      <alignment vertical="center" wrapText="1"/>
    </xf>
    <xf numFmtId="0" fontId="4" fillId="3" borderId="8" xfId="0" applyFont="1" applyFill="1" applyBorder="1" applyAlignment="1">
      <alignment vertical="center" wrapText="1"/>
    </xf>
    <xf numFmtId="0" fontId="4" fillId="3" borderId="7" xfId="0" applyFont="1" applyFill="1" applyBorder="1" applyAlignment="1">
      <alignment vertical="center" wrapText="1"/>
    </xf>
    <xf numFmtId="0" fontId="0" fillId="3" borderId="7" xfId="0" applyFill="1" applyBorder="1" applyAlignment="1">
      <alignment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8" fillId="0" borderId="8" xfId="0" applyFont="1" applyBorder="1" applyAlignment="1">
      <alignment horizontal="left" vertical="center" wrapText="1" indent="2"/>
    </xf>
    <xf numFmtId="0" fontId="8" fillId="0" borderId="7" xfId="0" applyFont="1" applyBorder="1" applyAlignment="1">
      <alignment horizontal="left" vertical="center" wrapText="1" indent="2"/>
    </xf>
    <xf numFmtId="0" fontId="8" fillId="3" borderId="8" xfId="0" applyFont="1" applyFill="1" applyBorder="1" applyAlignment="1">
      <alignment horizontal="left" vertical="center" wrapText="1" indent="2"/>
    </xf>
    <xf numFmtId="0" fontId="8" fillId="3" borderId="7" xfId="0" applyFont="1" applyFill="1" applyBorder="1" applyAlignment="1">
      <alignment horizontal="left" vertical="center" wrapText="1" indent="2"/>
    </xf>
    <xf numFmtId="0" fontId="0" fillId="0" borderId="8" xfId="0" applyBorder="1" applyAlignment="1">
      <alignment vertical="center" wrapText="1"/>
    </xf>
    <xf numFmtId="0" fontId="11" fillId="0" borderId="0" xfId="0" applyFont="1" applyAlignment="1">
      <alignment horizontal="center" vertical="center" textRotation="90" wrapText="1"/>
    </xf>
    <xf numFmtId="0" fontId="11" fillId="0" borderId="0" xfId="0" applyFont="1" applyAlignment="1">
      <alignment horizontal="right" vertical="center"/>
    </xf>
    <xf numFmtId="0" fontId="12" fillId="4" borderId="3" xfId="0" applyFont="1" applyFill="1" applyBorder="1" applyAlignment="1">
      <alignment vertical="center"/>
    </xf>
    <xf numFmtId="0" fontId="12" fillId="4" borderId="4" xfId="0" applyFont="1" applyFill="1" applyBorder="1" applyAlignment="1">
      <alignment vertical="center"/>
    </xf>
    <xf numFmtId="0" fontId="12" fillId="5" borderId="4" xfId="0" applyFont="1" applyFill="1" applyBorder="1" applyAlignment="1">
      <alignment vertical="center"/>
    </xf>
    <xf numFmtId="0" fontId="12" fillId="6" borderId="5" xfId="0" applyFont="1" applyFill="1" applyBorder="1" applyAlignment="1">
      <alignment vertical="center"/>
    </xf>
    <xf numFmtId="0" fontId="12" fillId="4" borderId="7" xfId="0" applyFont="1" applyFill="1" applyBorder="1" applyAlignment="1">
      <alignment vertical="center"/>
    </xf>
    <xf numFmtId="0" fontId="12" fillId="5" borderId="7" xfId="0" applyFont="1" applyFill="1" applyBorder="1" applyAlignment="1">
      <alignment vertical="center"/>
    </xf>
    <xf numFmtId="0" fontId="12" fillId="7" borderId="5" xfId="0" applyFont="1" applyFill="1" applyBorder="1" applyAlignment="1">
      <alignment vertical="center"/>
    </xf>
    <xf numFmtId="0" fontId="12" fillId="6" borderId="7" xfId="0" applyFont="1" applyFill="1" applyBorder="1" applyAlignment="1">
      <alignment vertical="center"/>
    </xf>
    <xf numFmtId="0" fontId="12" fillId="7" borderId="7" xfId="0" applyFont="1" applyFill="1" applyBorder="1" applyAlignment="1">
      <alignment vertical="center"/>
    </xf>
    <xf numFmtId="0" fontId="11" fillId="0" borderId="0" xfId="0" applyFont="1" applyAlignment="1">
      <alignment horizontal="center" vertical="center"/>
    </xf>
    <xf numFmtId="0" fontId="13" fillId="7" borderId="9" xfId="0" applyFont="1" applyFill="1" applyBorder="1" applyAlignment="1">
      <alignment horizontal="center" vertical="center"/>
    </xf>
    <xf numFmtId="0" fontId="13" fillId="7" borderId="5" xfId="0" applyFont="1" applyFill="1" applyBorder="1" applyAlignment="1">
      <alignment horizontal="center" vertical="center"/>
    </xf>
    <xf numFmtId="0" fontId="13" fillId="6" borderId="10" xfId="0" applyFont="1" applyFill="1" applyBorder="1" applyAlignment="1">
      <alignment horizontal="center" vertical="center"/>
    </xf>
    <xf numFmtId="0" fontId="13" fillId="6" borderId="7" xfId="0" applyFont="1" applyFill="1" applyBorder="1" applyAlignment="1">
      <alignment horizontal="center" vertical="center"/>
    </xf>
    <xf numFmtId="0" fontId="13" fillId="4" borderId="10" xfId="0" applyFont="1" applyFill="1" applyBorder="1" applyAlignment="1">
      <alignment horizontal="center" vertical="center"/>
    </xf>
    <xf numFmtId="0" fontId="13" fillId="4" borderId="7" xfId="0" applyFont="1" applyFill="1" applyBorder="1" applyAlignment="1">
      <alignment horizontal="center" vertical="center"/>
    </xf>
    <xf numFmtId="0" fontId="13" fillId="5" borderId="10" xfId="0" applyFont="1" applyFill="1" applyBorder="1" applyAlignment="1">
      <alignment horizontal="center" vertical="center"/>
    </xf>
    <xf numFmtId="0" fontId="13" fillId="5" borderId="7" xfId="0" applyFont="1" applyFill="1" applyBorder="1" applyAlignment="1">
      <alignment horizontal="center" vertical="center"/>
    </xf>
    <xf numFmtId="0" fontId="0" fillId="0" borderId="0" xfId="0"/>
    <xf numFmtId="6" fontId="0" fillId="0" borderId="0" xfId="0" applyNumberFormat="1"/>
    <xf numFmtId="0" fontId="5" fillId="2" borderId="10"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6" fillId="7" borderId="7" xfId="0" applyFont="1" applyFill="1" applyBorder="1" applyAlignment="1">
      <alignment vertical="center" wrapText="1"/>
    </xf>
    <xf numFmtId="6" fontId="6" fillId="7" borderId="7" xfId="0" applyNumberFormat="1" applyFont="1" applyFill="1" applyBorder="1" applyAlignment="1">
      <alignment horizontal="center" vertical="center" wrapText="1"/>
    </xf>
    <xf numFmtId="0" fontId="6" fillId="6" borderId="7" xfId="0" applyFont="1" applyFill="1" applyBorder="1" applyAlignment="1">
      <alignment vertical="center" wrapText="1"/>
    </xf>
    <xf numFmtId="6" fontId="6" fillId="6" borderId="7" xfId="0" applyNumberFormat="1" applyFont="1" applyFill="1" applyBorder="1" applyAlignment="1">
      <alignment horizontal="center" vertical="center" wrapText="1"/>
    </xf>
    <xf numFmtId="0" fontId="6" fillId="4" borderId="7" xfId="0" applyFont="1" applyFill="1" applyBorder="1" applyAlignment="1">
      <alignment vertical="center" wrapText="1"/>
    </xf>
    <xf numFmtId="6" fontId="6" fillId="4" borderId="7" xfId="0" applyNumberFormat="1" applyFont="1" applyFill="1" applyBorder="1" applyAlignment="1">
      <alignment horizontal="center" vertical="center" wrapText="1"/>
    </xf>
    <xf numFmtId="0" fontId="6" fillId="5" borderId="7" xfId="0" applyFont="1" applyFill="1" applyBorder="1" applyAlignment="1">
      <alignment vertical="center" wrapText="1"/>
    </xf>
    <xf numFmtId="6" fontId="6" fillId="5" borderId="7" xfId="0" applyNumberFormat="1"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14" fillId="0" borderId="0" xfId="0" applyFont="1" applyAlignment="1">
      <alignment horizontal="left" vertical="center"/>
    </xf>
    <xf numFmtId="0" fontId="15" fillId="0" borderId="0" xfId="0" applyFont="1" applyAlignment="1">
      <alignment vertical="center"/>
    </xf>
    <xf numFmtId="0" fontId="14" fillId="0" borderId="0" xfId="0" applyFont="1" applyAlignment="1">
      <alignment vertical="center"/>
    </xf>
    <xf numFmtId="0" fontId="6" fillId="7" borderId="7" xfId="0" applyFont="1" applyFill="1" applyBorder="1" applyAlignment="1">
      <alignment horizontal="center" vertical="center" wrapText="1"/>
    </xf>
    <xf numFmtId="0" fontId="6" fillId="5" borderId="7" xfId="0" applyFont="1" applyFill="1" applyBorder="1" applyAlignment="1">
      <alignment horizontal="center" vertical="center" wrapText="1"/>
    </xf>
    <xf numFmtId="3" fontId="0" fillId="0" borderId="0" xfId="0" applyNumberFormat="1"/>
    <xf numFmtId="3" fontId="6" fillId="7" borderId="7" xfId="0" applyNumberFormat="1" applyFont="1" applyFill="1" applyBorder="1" applyAlignment="1">
      <alignment horizontal="center" vertical="center" wrapText="1"/>
    </xf>
    <xf numFmtId="3" fontId="6" fillId="5" borderId="7" xfId="0" applyNumberFormat="1" applyFont="1" applyFill="1" applyBorder="1" applyAlignment="1">
      <alignment horizontal="center" vertical="center" wrapText="1"/>
    </xf>
    <xf numFmtId="0" fontId="6" fillId="0" borderId="5" xfId="0" applyFont="1" applyBorder="1" applyAlignment="1">
      <alignment horizontal="right" vertical="center" wrapText="1"/>
    </xf>
    <xf numFmtId="6" fontId="4" fillId="0" borderId="7" xfId="0" applyNumberFormat="1" applyFont="1" applyBorder="1" applyAlignment="1">
      <alignment horizontal="center" vertical="center" wrapText="1"/>
    </xf>
    <xf numFmtId="0" fontId="4" fillId="0" borderId="7" xfId="0" applyFont="1" applyBorder="1" applyAlignment="1">
      <alignment horizontal="center" vertical="center" wrapText="1"/>
    </xf>
    <xf numFmtId="0" fontId="18" fillId="8" borderId="5" xfId="0" applyFont="1" applyFill="1" applyBorder="1" applyAlignment="1">
      <alignment horizontal="right" vertical="center" wrapText="1"/>
    </xf>
    <xf numFmtId="0" fontId="0" fillId="6" borderId="0" xfId="0" applyFill="1"/>
    <xf numFmtId="3" fontId="0" fillId="7" borderId="0" xfId="0" applyNumberFormat="1" applyFill="1"/>
    <xf numFmtId="3" fontId="0" fillId="6" borderId="0" xfId="0" applyNumberFormat="1" applyFill="1"/>
    <xf numFmtId="3" fontId="0" fillId="5" borderId="0" xfId="0" applyNumberFormat="1" applyFill="1"/>
    <xf numFmtId="0" fontId="0" fillId="5" borderId="0" xfId="0" applyFill="1"/>
    <xf numFmtId="0" fontId="0" fillId="0" borderId="0" xfId="0" applyFill="1"/>
    <xf numFmtId="0" fontId="0" fillId="0" borderId="0" xfId="0" applyFill="1" applyBorder="1" applyAlignment="1">
      <alignment wrapText="1"/>
    </xf>
    <xf numFmtId="0" fontId="0" fillId="0" borderId="0" xfId="0" applyAlignment="1">
      <alignment wrapText="1"/>
    </xf>
    <xf numFmtId="0" fontId="8" fillId="0" borderId="8" xfId="0" applyFont="1" applyBorder="1" applyAlignment="1">
      <alignment horizontal="left" vertical="center" wrapText="1"/>
    </xf>
    <xf numFmtId="0" fontId="0" fillId="0" borderId="0" xfId="0" applyAlignment="1"/>
    <xf numFmtId="0" fontId="0" fillId="5" borderId="0" xfId="0" applyFill="1" applyAlignment="1">
      <alignment wrapText="1"/>
    </xf>
    <xf numFmtId="0" fontId="0" fillId="6" borderId="0" xfId="0" applyFill="1" applyAlignment="1">
      <alignment wrapText="1"/>
    </xf>
    <xf numFmtId="0" fontId="0" fillId="7" borderId="0" xfId="0" applyFill="1" applyAlignment="1">
      <alignment wrapText="1"/>
    </xf>
    <xf numFmtId="0" fontId="2" fillId="0" borderId="0" xfId="0" applyFont="1"/>
    <xf numFmtId="0" fontId="2" fillId="0" borderId="1" xfId="0" applyFont="1" applyBorder="1"/>
    <xf numFmtId="0" fontId="0" fillId="0" borderId="1" xfId="0" applyFont="1" applyBorder="1"/>
    <xf numFmtId="0" fontId="11" fillId="0" borderId="0" xfId="0" applyFont="1" applyAlignment="1">
      <alignment horizontal="center" vertical="center" wrapText="1"/>
    </xf>
    <xf numFmtId="0" fontId="12" fillId="7" borderId="0" xfId="0" applyFont="1" applyFill="1" applyBorder="1" applyAlignment="1">
      <alignment vertical="center"/>
    </xf>
    <xf numFmtId="0" fontId="12" fillId="6" borderId="0" xfId="0" applyFont="1" applyFill="1" applyBorder="1" applyAlignment="1">
      <alignment vertical="center"/>
    </xf>
    <xf numFmtId="0" fontId="11" fillId="0" borderId="0" xfId="0" applyFont="1" applyAlignment="1">
      <alignment horizontal="right" vertical="center" wrapText="1"/>
    </xf>
    <xf numFmtId="0" fontId="12" fillId="6" borderId="4" xfId="0" applyFont="1" applyFill="1" applyBorder="1" applyAlignment="1">
      <alignment vertical="center"/>
    </xf>
    <xf numFmtId="0" fontId="12" fillId="7" borderId="6" xfId="0" applyFont="1" applyFill="1" applyBorder="1" applyAlignment="1">
      <alignment vertical="center"/>
    </xf>
    <xf numFmtId="0" fontId="12" fillId="7" borderId="8" xfId="0" applyFont="1" applyFill="1" applyBorder="1" applyAlignment="1">
      <alignment vertical="center"/>
    </xf>
    <xf numFmtId="0" fontId="12" fillId="6" borderId="8" xfId="0" applyFont="1" applyFill="1" applyBorder="1" applyAlignment="1">
      <alignment vertical="center"/>
    </xf>
    <xf numFmtId="0" fontId="12" fillId="7" borderId="13" xfId="0" applyFont="1" applyFill="1" applyBorder="1" applyAlignment="1">
      <alignment vertical="center"/>
    </xf>
    <xf numFmtId="0" fontId="12" fillId="7" borderId="3" xfId="0" applyFont="1" applyFill="1" applyBorder="1" applyAlignment="1">
      <alignment vertical="center"/>
    </xf>
    <xf numFmtId="0" fontId="2" fillId="0" borderId="0" xfId="0" applyFont="1" applyAlignment="1"/>
    <xf numFmtId="0" fontId="2" fillId="0" borderId="0" xfId="0" applyFont="1" applyAlignment="1">
      <alignment wrapText="1"/>
    </xf>
    <xf numFmtId="167" fontId="0" fillId="0" borderId="0" xfId="0" applyNumberFormat="1"/>
    <xf numFmtId="8" fontId="0" fillId="0" borderId="0" xfId="0" applyNumberFormat="1"/>
    <xf numFmtId="0" fontId="0" fillId="0" borderId="0" xfId="0" applyAlignment="1">
      <alignment horizontal="left"/>
    </xf>
    <xf numFmtId="168" fontId="0" fillId="0" borderId="0" xfId="0" applyNumberFormat="1"/>
    <xf numFmtId="0" fontId="0" fillId="0" borderId="0" xfId="0"/>
    <xf numFmtId="0" fontId="0" fillId="0" borderId="0" xfId="0"/>
    <xf numFmtId="0" fontId="2" fillId="0" borderId="1" xfId="0" applyFont="1" applyBorder="1" applyAlignment="1">
      <alignment wrapText="1"/>
    </xf>
    <xf numFmtId="169" fontId="0" fillId="0" borderId="0" xfId="0" applyNumberFormat="1"/>
    <xf numFmtId="0" fontId="0" fillId="0" borderId="0" xfId="0" applyAlignment="1">
      <alignment horizontal="center"/>
    </xf>
    <xf numFmtId="170" fontId="0" fillId="0" borderId="0" xfId="0" applyNumberFormat="1"/>
    <xf numFmtId="0" fontId="0" fillId="0" borderId="1" xfId="0" applyBorder="1" applyAlignment="1">
      <alignment wrapText="1"/>
    </xf>
    <xf numFmtId="0" fontId="0" fillId="0" borderId="1" xfId="0" applyBorder="1" applyAlignment="1">
      <alignment horizontal="left"/>
    </xf>
    <xf numFmtId="0" fontId="2" fillId="0" borderId="1" xfId="0" applyFont="1" applyBorder="1" applyAlignment="1">
      <alignment horizontal="center"/>
    </xf>
    <xf numFmtId="167" fontId="0" fillId="0" borderId="0" xfId="0" applyNumberFormat="1" applyAlignment="1">
      <alignment horizontal="center"/>
    </xf>
    <xf numFmtId="167" fontId="0" fillId="0" borderId="1" xfId="0" applyNumberFormat="1" applyBorder="1" applyAlignment="1">
      <alignment horizontal="center"/>
    </xf>
    <xf numFmtId="0" fontId="2" fillId="0" borderId="0" xfId="0" applyFont="1" applyAlignment="1">
      <alignment horizontal="center"/>
    </xf>
    <xf numFmtId="0" fontId="0" fillId="0" borderId="0" xfId="0"/>
    <xf numFmtId="0" fontId="15" fillId="0" borderId="0" xfId="0" applyFont="1" applyAlignment="1">
      <alignment wrapText="1"/>
    </xf>
    <xf numFmtId="167" fontId="0" fillId="9" borderId="13" xfId="0" applyNumberFormat="1" applyFill="1" applyBorder="1"/>
    <xf numFmtId="0" fontId="20" fillId="0" borderId="0" xfId="0" applyFont="1" applyAlignment="1">
      <alignment wrapText="1"/>
    </xf>
    <xf numFmtId="0" fontId="21" fillId="10" borderId="0" xfId="0" applyFont="1" applyFill="1" applyAlignment="1">
      <alignment wrapText="1"/>
    </xf>
    <xf numFmtId="167" fontId="0" fillId="10" borderId="0" xfId="0" applyNumberFormat="1" applyFill="1" applyAlignment="1">
      <alignment horizontal="center"/>
    </xf>
    <xf numFmtId="167" fontId="0" fillId="10" borderId="0" xfId="0" applyNumberFormat="1" applyFill="1"/>
    <xf numFmtId="167" fontId="22" fillId="10" borderId="0" xfId="0" applyNumberFormat="1" applyFont="1" applyFill="1" applyAlignment="1">
      <alignment horizontal="left"/>
    </xf>
    <xf numFmtId="0" fontId="6" fillId="0" borderId="0" xfId="0" applyFont="1" applyAlignment="1">
      <alignment wrapText="1"/>
    </xf>
    <xf numFmtId="0" fontId="24" fillId="0" borderId="0" xfId="0" applyFont="1"/>
    <xf numFmtId="0" fontId="24" fillId="0" borderId="0" xfId="0" applyFont="1" applyBorder="1"/>
    <xf numFmtId="0" fontId="2" fillId="0" borderId="0" xfId="0" applyFont="1" applyBorder="1"/>
    <xf numFmtId="0" fontId="4" fillId="0" borderId="13" xfId="0" applyFont="1" applyBorder="1" applyAlignment="1">
      <alignment wrapText="1"/>
    </xf>
    <xf numFmtId="0" fontId="2" fillId="0" borderId="0" xfId="0" applyFont="1" applyBorder="1" applyAlignment="1">
      <alignment wrapText="1"/>
    </xf>
    <xf numFmtId="0" fontId="2" fillId="0" borderId="0" xfId="0" applyFont="1" applyAlignment="1">
      <alignment horizontal="right"/>
    </xf>
    <xf numFmtId="0" fontId="2" fillId="0" borderId="1" xfId="0" applyFont="1" applyBorder="1" applyAlignment="1">
      <alignment horizontal="right"/>
    </xf>
    <xf numFmtId="0" fontId="0" fillId="4" borderId="13" xfId="0" applyFill="1" applyBorder="1"/>
    <xf numFmtId="164" fontId="0" fillId="7" borderId="13" xfId="0" applyNumberFormat="1" applyFill="1" applyBorder="1"/>
    <xf numFmtId="0" fontId="0" fillId="11" borderId="13" xfId="0" applyFill="1" applyBorder="1"/>
    <xf numFmtId="16" fontId="0" fillId="11" borderId="13" xfId="0" quotePrefix="1" applyNumberFormat="1" applyFill="1" applyBorder="1"/>
    <xf numFmtId="0" fontId="0" fillId="11" borderId="13" xfId="0" quotePrefix="1" applyFill="1" applyBorder="1"/>
    <xf numFmtId="0" fontId="0" fillId="11" borderId="0" xfId="0" applyFill="1"/>
    <xf numFmtId="16" fontId="0" fillId="11" borderId="0" xfId="0" quotePrefix="1" applyNumberFormat="1" applyFill="1"/>
    <xf numFmtId="169" fontId="0" fillId="11" borderId="13" xfId="0" applyNumberFormat="1" applyFill="1" applyBorder="1"/>
    <xf numFmtId="170" fontId="0" fillId="11" borderId="0" xfId="0" applyNumberFormat="1" applyFill="1"/>
    <xf numFmtId="0" fontId="0" fillId="0" borderId="1" xfId="0" applyBorder="1" applyAlignment="1">
      <alignment horizontal="center"/>
    </xf>
    <xf numFmtId="0" fontId="0" fillId="0" borderId="0" xfId="0" applyFont="1"/>
    <xf numFmtId="1" fontId="0" fillId="7" borderId="13" xfId="0" applyNumberFormat="1" applyFill="1" applyBorder="1"/>
    <xf numFmtId="0" fontId="0" fillId="0" borderId="0" xfId="0" applyFill="1" applyBorder="1"/>
    <xf numFmtId="0" fontId="2" fillId="0" borderId="0" xfId="0" applyFont="1" applyFill="1" applyBorder="1"/>
    <xf numFmtId="0" fontId="2" fillId="0" borderId="1" xfId="0" applyFont="1" applyFill="1" applyBorder="1"/>
    <xf numFmtId="167" fontId="0" fillId="4" borderId="13" xfId="0" applyNumberFormat="1" applyFill="1" applyBorder="1"/>
    <xf numFmtId="167" fontId="0" fillId="7" borderId="13" xfId="0" applyNumberFormat="1" applyFill="1" applyBorder="1"/>
    <xf numFmtId="167" fontId="0" fillId="7" borderId="0" xfId="0" applyNumberFormat="1" applyFill="1" applyAlignment="1">
      <alignment horizontal="center"/>
    </xf>
    <xf numFmtId="167" fontId="23" fillId="4" borderId="0" xfId="0" applyNumberFormat="1" applyFont="1" applyFill="1" applyAlignment="1">
      <alignment horizontal="center"/>
    </xf>
    <xf numFmtId="0" fontId="0" fillId="0" borderId="0" xfId="0" applyFont="1" applyAlignment="1">
      <alignment wrapText="1"/>
    </xf>
    <xf numFmtId="0" fontId="0" fillId="0" borderId="0" xfId="0" applyFont="1" applyAlignment="1">
      <alignment horizontal="center"/>
    </xf>
    <xf numFmtId="0" fontId="20" fillId="0" borderId="0" xfId="0" applyFont="1"/>
    <xf numFmtId="0" fontId="0" fillId="0" borderId="0" xfId="0"/>
    <xf numFmtId="0" fontId="0" fillId="4" borderId="0" xfId="0" applyFill="1"/>
    <xf numFmtId="3" fontId="0" fillId="4" borderId="13" xfId="0" applyNumberFormat="1" applyFill="1" applyBorder="1"/>
    <xf numFmtId="164" fontId="0" fillId="7" borderId="0" xfId="0" applyNumberFormat="1" applyFill="1"/>
    <xf numFmtId="170" fontId="0" fillId="0" borderId="0" xfId="0" applyNumberFormat="1" applyFill="1"/>
    <xf numFmtId="170" fontId="0" fillId="7" borderId="0" xfId="0" applyNumberFormat="1" applyFill="1"/>
    <xf numFmtId="170" fontId="0" fillId="0" borderId="0" xfId="0" applyNumberFormat="1" applyFill="1" applyAlignment="1">
      <alignment horizontal="right"/>
    </xf>
    <xf numFmtId="0" fontId="1" fillId="0" borderId="0" xfId="0" applyFont="1" applyAlignment="1">
      <alignment horizontal="right"/>
    </xf>
    <xf numFmtId="0" fontId="2" fillId="0" borderId="0" xfId="0" applyFont="1" applyFill="1" applyBorder="1" applyAlignment="1">
      <alignment horizontal="center"/>
    </xf>
    <xf numFmtId="164" fontId="0" fillId="12" borderId="13" xfId="0" applyNumberFormat="1" applyFill="1" applyBorder="1" applyAlignment="1">
      <alignment horizontal="center"/>
    </xf>
    <xf numFmtId="0" fontId="0" fillId="0" borderId="0" xfId="0"/>
    <xf numFmtId="0" fontId="0" fillId="0" borderId="0" xfId="0"/>
    <xf numFmtId="0" fontId="0" fillId="0" borderId="0" xfId="0" applyAlignment="1">
      <alignment wrapText="1"/>
    </xf>
    <xf numFmtId="0" fontId="0" fillId="0" borderId="0" xfId="0"/>
    <xf numFmtId="0" fontId="0" fillId="0" borderId="0" xfId="0" applyAlignment="1">
      <alignment wrapText="1"/>
    </xf>
    <xf numFmtId="167" fontId="0" fillId="0" borderId="1" xfId="0" applyNumberFormat="1" applyBorder="1"/>
    <xf numFmtId="167" fontId="2" fillId="0" borderId="0" xfId="0" applyNumberFormat="1" applyFont="1"/>
    <xf numFmtId="0" fontId="19" fillId="13" borderId="0" xfId="0" applyFont="1" applyFill="1"/>
    <xf numFmtId="0" fontId="0" fillId="13" borderId="0" xfId="0" applyFill="1"/>
    <xf numFmtId="0" fontId="21" fillId="14" borderId="0" xfId="0" applyFont="1" applyFill="1"/>
    <xf numFmtId="167" fontId="21" fillId="14" borderId="0" xfId="0" applyNumberFormat="1" applyFont="1" applyFill="1"/>
    <xf numFmtId="0" fontId="2" fillId="0" borderId="1" xfId="0" applyFont="1" applyBorder="1" applyAlignment="1">
      <alignment horizontal="center" wrapText="1"/>
    </xf>
    <xf numFmtId="0" fontId="0" fillId="13" borderId="0" xfId="0" applyFill="1" applyAlignment="1">
      <alignment horizontal="center"/>
    </xf>
    <xf numFmtId="0" fontId="0" fillId="0" borderId="0" xfId="0"/>
    <xf numFmtId="166" fontId="0" fillId="0" borderId="0" xfId="0" applyNumberFormat="1" applyAlignment="1">
      <alignment horizontal="center" wrapText="1"/>
    </xf>
    <xf numFmtId="0" fontId="0" fillId="0" borderId="0" xfId="0" applyAlignment="1">
      <alignment horizontal="center" wrapText="1"/>
    </xf>
    <xf numFmtId="0" fontId="2" fillId="0" borderId="0" xfId="0" applyFont="1" applyFill="1" applyBorder="1" applyAlignment="1">
      <alignment horizontal="center" wrapText="1"/>
    </xf>
    <xf numFmtId="167" fontId="0" fillId="15" borderId="0" xfId="0" applyNumberFormat="1" applyFill="1"/>
    <xf numFmtId="167" fontId="0" fillId="16" borderId="0" xfId="0" applyNumberFormat="1" applyFill="1"/>
    <xf numFmtId="167" fontId="0" fillId="17" borderId="0" xfId="0" applyNumberFormat="1" applyFill="1"/>
    <xf numFmtId="167" fontId="21" fillId="0" borderId="0" xfId="0" applyNumberFormat="1" applyFont="1"/>
    <xf numFmtId="0" fontId="0" fillId="14" borderId="0" xfId="0" applyFill="1"/>
    <xf numFmtId="0" fontId="2" fillId="0" borderId="0" xfId="0" applyFont="1" applyAlignment="1">
      <alignment horizontal="center"/>
    </xf>
    <xf numFmtId="0" fontId="2" fillId="0" borderId="1" xfId="0" applyFont="1" applyFill="1" applyBorder="1" applyAlignment="1">
      <alignment horizontal="center" wrapText="1"/>
    </xf>
    <xf numFmtId="0" fontId="0" fillId="13" borderId="1" xfId="0" applyFill="1" applyBorder="1"/>
    <xf numFmtId="167" fontId="25" fillId="0" borderId="0" xfId="0" applyNumberFormat="1" applyFont="1"/>
    <xf numFmtId="164" fontId="21" fillId="0" borderId="0" xfId="0" applyNumberFormat="1" applyFont="1"/>
    <xf numFmtId="171" fontId="0" fillId="0" borderId="0" xfId="0" applyNumberFormat="1"/>
    <xf numFmtId="167" fontId="0" fillId="16" borderId="1" xfId="0" applyNumberFormat="1" applyFill="1" applyBorder="1"/>
    <xf numFmtId="167" fontId="0" fillId="15" borderId="1" xfId="0" applyNumberFormat="1" applyFill="1" applyBorder="1"/>
    <xf numFmtId="167" fontId="0" fillId="18" borderId="0" xfId="0" applyNumberFormat="1" applyFill="1"/>
    <xf numFmtId="167" fontId="0" fillId="18" borderId="1" xfId="0" applyNumberFormat="1" applyFill="1" applyBorder="1"/>
    <xf numFmtId="167" fontId="0" fillId="17" borderId="1" xfId="0" applyNumberFormat="1" applyFill="1" applyBorder="1"/>
    <xf numFmtId="167" fontId="0" fillId="0" borderId="0" xfId="0" applyNumberFormat="1" applyFill="1"/>
    <xf numFmtId="0" fontId="0" fillId="0" borderId="14" xfId="0" applyBorder="1"/>
    <xf numFmtId="0" fontId="0" fillId="0" borderId="15" xfId="0" applyBorder="1"/>
    <xf numFmtId="172" fontId="0" fillId="0" borderId="0" xfId="0" applyNumberFormat="1"/>
    <xf numFmtId="172" fontId="0" fillId="0" borderId="1" xfId="0" applyNumberFormat="1" applyBorder="1" applyAlignment="1">
      <alignment horizontal="right"/>
    </xf>
    <xf numFmtId="0" fontId="0" fillId="0" borderId="1" xfId="0" applyBorder="1" applyAlignment="1">
      <alignment horizontal="right"/>
    </xf>
    <xf numFmtId="0" fontId="0" fillId="16" borderId="0" xfId="0" applyFill="1"/>
    <xf numFmtId="0" fontId="1" fillId="16" borderId="0" xfId="0" applyFont="1" applyFill="1"/>
    <xf numFmtId="0" fontId="21" fillId="16" borderId="0" xfId="0" applyFont="1" applyFill="1"/>
    <xf numFmtId="0" fontId="0" fillId="0" borderId="0" xfId="0" applyBorder="1"/>
    <xf numFmtId="167" fontId="0" fillId="0" borderId="0" xfId="0" applyNumberFormat="1" applyBorder="1"/>
    <xf numFmtId="0" fontId="0" fillId="0" borderId="0" xfId="0"/>
    <xf numFmtId="0" fontId="0" fillId="0" borderId="0" xfId="0" applyAlignment="1">
      <alignment wrapText="1"/>
    </xf>
    <xf numFmtId="0" fontId="0" fillId="0" borderId="0" xfId="0" applyFill="1" applyBorder="1" applyAlignment="1">
      <alignment horizontal="center"/>
    </xf>
    <xf numFmtId="0" fontId="0" fillId="0" borderId="0" xfId="0"/>
    <xf numFmtId="0" fontId="0" fillId="0" borderId="0" xfId="0"/>
    <xf numFmtId="0" fontId="0" fillId="0" borderId="0" xfId="0"/>
    <xf numFmtId="167" fontId="0" fillId="19" borderId="0" xfId="0" applyNumberFormat="1" applyFill="1"/>
    <xf numFmtId="167" fontId="0" fillId="20" borderId="0" xfId="0" applyNumberFormat="1" applyFill="1"/>
    <xf numFmtId="0" fontId="0" fillId="0" borderId="0" xfId="0"/>
    <xf numFmtId="0" fontId="0" fillId="0" borderId="0" xfId="0" applyAlignment="1">
      <alignment wrapText="1"/>
    </xf>
    <xf numFmtId="0" fontId="2" fillId="0" borderId="0" xfId="0" applyFont="1" applyAlignment="1">
      <alignment horizontal="right" wrapText="1"/>
    </xf>
    <xf numFmtId="0" fontId="0" fillId="13" borderId="0" xfId="0" applyFill="1" applyAlignment="1">
      <alignment horizontal="center"/>
    </xf>
    <xf numFmtId="0" fontId="0" fillId="0" borderId="0" xfId="0"/>
    <xf numFmtId="0" fontId="0" fillId="0" borderId="0" xfId="0" applyAlignment="1">
      <alignment wrapText="1"/>
    </xf>
    <xf numFmtId="0" fontId="0" fillId="20" borderId="0" xfId="0" applyFill="1"/>
    <xf numFmtId="0" fontId="0" fillId="21" borderId="0" xfId="0" applyFill="1"/>
    <xf numFmtId="0" fontId="2" fillId="0" borderId="0" xfId="0" applyFont="1" applyBorder="1" applyAlignment="1">
      <alignment horizontal="center" wrapText="1"/>
    </xf>
    <xf numFmtId="0" fontId="0" fillId="0" borderId="0" xfId="0" applyBorder="1" applyAlignment="1">
      <alignment horizontal="right"/>
    </xf>
    <xf numFmtId="167" fontId="21" fillId="0" borderId="0" xfId="0" applyNumberFormat="1" applyFont="1" applyFill="1"/>
    <xf numFmtId="167" fontId="25" fillId="0" borderId="1" xfId="0" applyNumberFormat="1" applyFont="1" applyBorder="1"/>
    <xf numFmtId="167" fontId="0" fillId="19" borderId="1" xfId="0" applyNumberFormat="1" applyFill="1" applyBorder="1"/>
    <xf numFmtId="0" fontId="0" fillId="22" borderId="0" xfId="0" applyFill="1"/>
    <xf numFmtId="167" fontId="0" fillId="22" borderId="0" xfId="0" applyNumberFormat="1" applyFill="1"/>
    <xf numFmtId="167" fontId="0" fillId="14" borderId="0" xfId="0" applyNumberFormat="1" applyFill="1"/>
    <xf numFmtId="167" fontId="2" fillId="0" borderId="0" xfId="0" applyNumberFormat="1" applyFont="1" applyBorder="1"/>
    <xf numFmtId="167" fontId="0" fillId="17" borderId="0" xfId="0" applyNumberFormat="1" applyFill="1" applyBorder="1"/>
    <xf numFmtId="167" fontId="0" fillId="0" borderId="0" xfId="0" applyNumberFormat="1" applyFont="1" applyFill="1" applyBorder="1" applyAlignment="1">
      <alignment horizontal="right" wrapText="1"/>
    </xf>
    <xf numFmtId="167" fontId="0" fillId="0" borderId="1" xfId="0" applyNumberFormat="1" applyFont="1" applyFill="1" applyBorder="1" applyAlignment="1">
      <alignment horizontal="right" wrapText="1"/>
    </xf>
    <xf numFmtId="0" fontId="0" fillId="0" borderId="0" xfId="0" applyBorder="1" applyAlignment="1">
      <alignment wrapText="1"/>
    </xf>
    <xf numFmtId="0" fontId="0" fillId="0" borderId="1" xfId="0" applyFill="1" applyBorder="1"/>
    <xf numFmtId="0" fontId="0" fillId="0" borderId="0" xfId="0"/>
    <xf numFmtId="0" fontId="0" fillId="0" borderId="0" xfId="0"/>
    <xf numFmtId="0" fontId="0" fillId="0" borderId="0" xfId="0"/>
    <xf numFmtId="0" fontId="2" fillId="23" borderId="0" xfId="0" applyFont="1" applyFill="1"/>
    <xf numFmtId="0" fontId="2" fillId="23" borderId="0" xfId="0" applyFont="1" applyFill="1" applyAlignment="1">
      <alignment horizontal="right"/>
    </xf>
    <xf numFmtId="0" fontId="2" fillId="23" borderId="13" xfId="0" applyFont="1" applyFill="1" applyBorder="1" applyAlignment="1">
      <alignment horizontal="left"/>
    </xf>
    <xf numFmtId="0" fontId="2" fillId="0" borderId="1" xfId="0" applyFont="1" applyFill="1" applyBorder="1" applyAlignment="1">
      <alignment horizontal="center"/>
    </xf>
    <xf numFmtId="0" fontId="0" fillId="0" borderId="0" xfId="0" quotePrefix="1" applyAlignment="1">
      <alignment horizontal="center"/>
    </xf>
    <xf numFmtId="173" fontId="0" fillId="0" borderId="0" xfId="0" applyNumberFormat="1"/>
    <xf numFmtId="0" fontId="0" fillId="0" borderId="0" xfId="0"/>
    <xf numFmtId="0" fontId="0" fillId="23" borderId="0" xfId="0" applyFill="1"/>
    <xf numFmtId="164" fontId="0" fillId="23" borderId="0" xfId="0" applyNumberFormat="1" applyFill="1"/>
    <xf numFmtId="0" fontId="0" fillId="0" borderId="0" xfId="0"/>
    <xf numFmtId="0" fontId="0" fillId="0" borderId="0" xfId="0"/>
    <xf numFmtId="0" fontId="0" fillId="0" borderId="0" xfId="0" applyAlignment="1">
      <alignment wrapText="1"/>
    </xf>
    <xf numFmtId="0" fontId="0" fillId="13" borderId="0" xfId="0" applyFill="1" applyAlignment="1">
      <alignment horizontal="center"/>
    </xf>
    <xf numFmtId="0" fontId="0" fillId="0" borderId="0" xfId="0" applyAlignment="1"/>
    <xf numFmtId="0" fontId="2" fillId="0" borderId="0" xfId="0" applyFont="1" applyAlignment="1">
      <alignment horizontal="center"/>
    </xf>
    <xf numFmtId="0" fontId="11" fillId="0" borderId="0" xfId="0" applyFont="1" applyAlignment="1">
      <alignment horizontal="center" vertical="center" textRotation="90" wrapText="1"/>
    </xf>
    <xf numFmtId="0" fontId="11" fillId="0" borderId="0" xfId="0" applyFont="1" applyAlignment="1">
      <alignment horizontal="center" vertical="center"/>
    </xf>
    <xf numFmtId="0" fontId="0" fillId="0" borderId="0" xfId="0"/>
    <xf numFmtId="0" fontId="0" fillId="0" borderId="8" xfId="0" applyBorder="1"/>
    <xf numFmtId="0" fontId="18" fillId="7" borderId="12" xfId="0" applyFont="1" applyFill="1" applyBorder="1" applyAlignment="1">
      <alignment horizontal="center" vertical="center" wrapText="1"/>
    </xf>
    <xf numFmtId="0" fontId="18" fillId="7" borderId="4" xfId="0" applyFont="1" applyFill="1" applyBorder="1" applyAlignment="1">
      <alignment horizontal="center" vertical="center" wrapText="1"/>
    </xf>
    <xf numFmtId="0" fontId="18" fillId="6" borderId="12" xfId="0" applyFont="1" applyFill="1" applyBorder="1" applyAlignment="1">
      <alignment horizontal="center" vertical="center" wrapText="1"/>
    </xf>
    <xf numFmtId="0" fontId="18" fillId="6" borderId="11" xfId="0" applyFont="1" applyFill="1" applyBorder="1" applyAlignment="1">
      <alignment horizontal="center" vertical="center" wrapText="1"/>
    </xf>
    <xf numFmtId="0" fontId="18" fillId="6" borderId="4" xfId="0" applyFont="1" applyFill="1" applyBorder="1" applyAlignment="1">
      <alignment horizontal="center" vertical="center" wrapText="1"/>
    </xf>
    <xf numFmtId="0" fontId="18" fillId="4" borderId="12" xfId="0" applyFont="1" applyFill="1" applyBorder="1" applyAlignment="1">
      <alignment horizontal="center" vertical="center" wrapText="1"/>
    </xf>
    <xf numFmtId="0" fontId="18" fillId="4" borderId="11" xfId="0" applyFont="1" applyFill="1" applyBorder="1" applyAlignment="1">
      <alignment horizontal="center" vertical="center" wrapText="1"/>
    </xf>
    <xf numFmtId="0" fontId="18" fillId="4" borderId="4" xfId="0" applyFont="1" applyFill="1" applyBorder="1" applyAlignment="1">
      <alignment horizontal="center" vertical="center" wrapText="1"/>
    </xf>
    <xf numFmtId="0" fontId="18" fillId="5" borderId="12" xfId="0" applyFont="1" applyFill="1" applyBorder="1" applyAlignment="1">
      <alignment horizontal="center" vertical="center" wrapText="1"/>
    </xf>
    <xf numFmtId="0" fontId="18" fillId="5" borderId="11"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5" fillId="8" borderId="12" xfId="0" applyFont="1" applyFill="1" applyBorder="1" applyAlignment="1">
      <alignment vertical="center" wrapText="1"/>
    </xf>
    <xf numFmtId="0" fontId="5" fillId="8" borderId="11" xfId="0" applyFont="1" applyFill="1" applyBorder="1" applyAlignment="1">
      <alignment vertical="center" wrapText="1"/>
    </xf>
    <xf numFmtId="0" fontId="5" fillId="8" borderId="4" xfId="0" applyFont="1" applyFill="1" applyBorder="1" applyAlignment="1">
      <alignment vertical="center" wrapText="1"/>
    </xf>
    <xf numFmtId="0" fontId="4" fillId="0" borderId="12" xfId="0" applyFont="1" applyBorder="1" applyAlignment="1">
      <alignment vertical="center" wrapText="1"/>
    </xf>
    <xf numFmtId="0" fontId="4" fillId="0" borderId="4" xfId="0" applyFont="1" applyBorder="1" applyAlignment="1">
      <alignment vertical="center" wrapText="1"/>
    </xf>
    <xf numFmtId="0" fontId="4" fillId="0" borderId="12" xfId="0" applyFont="1" applyBorder="1" applyAlignment="1">
      <alignment horizontal="center" vertical="center" wrapText="1"/>
    </xf>
    <xf numFmtId="0" fontId="4" fillId="0" borderId="4" xfId="0" applyFont="1" applyBorder="1" applyAlignment="1">
      <alignment horizontal="center" vertical="center" wrapText="1"/>
    </xf>
    <xf numFmtId="6" fontId="4" fillId="0" borderId="12" xfId="0" applyNumberFormat="1" applyFont="1" applyBorder="1" applyAlignment="1">
      <alignment horizontal="center" vertical="center" wrapText="1"/>
    </xf>
    <xf numFmtId="6" fontId="4" fillId="0" borderId="4" xfId="0" applyNumberFormat="1" applyFont="1" applyBorder="1" applyAlignment="1">
      <alignment horizontal="center" vertical="center" wrapText="1"/>
    </xf>
    <xf numFmtId="0" fontId="5" fillId="4" borderId="12"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7" borderId="12"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6" fillId="6" borderId="9"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5" xfId="0" applyFont="1" applyFill="1" applyBorder="1" applyAlignment="1">
      <alignment horizontal="center" vertical="center" wrapText="1"/>
    </xf>
    <xf numFmtId="3" fontId="6" fillId="4" borderId="9" xfId="0" applyNumberFormat="1" applyFont="1" applyFill="1" applyBorder="1" applyAlignment="1">
      <alignment horizontal="center" vertical="center" wrapText="1"/>
    </xf>
    <xf numFmtId="3" fontId="6" fillId="4" borderId="6" xfId="0" applyNumberFormat="1" applyFont="1" applyFill="1" applyBorder="1" applyAlignment="1">
      <alignment horizontal="center" vertical="center" wrapText="1"/>
    </xf>
    <xf numFmtId="3" fontId="6" fillId="4" borderId="5" xfId="0" applyNumberFormat="1" applyFont="1" applyFill="1" applyBorder="1" applyAlignment="1">
      <alignment horizontal="center" vertical="center" wrapText="1"/>
    </xf>
    <xf numFmtId="0" fontId="6" fillId="4" borderId="9" xfId="0" applyFont="1" applyFill="1" applyBorder="1" applyAlignment="1">
      <alignment vertical="center" wrapText="1"/>
    </xf>
    <xf numFmtId="0" fontId="6" fillId="4" borderId="5" xfId="0" applyFont="1" applyFill="1" applyBorder="1" applyAlignment="1">
      <alignment vertical="center" wrapText="1"/>
    </xf>
    <xf numFmtId="3" fontId="6" fillId="6" borderId="9" xfId="0" applyNumberFormat="1" applyFont="1" applyFill="1" applyBorder="1" applyAlignment="1">
      <alignment horizontal="center" vertical="center" wrapText="1"/>
    </xf>
    <xf numFmtId="3" fontId="6" fillId="6" borderId="6" xfId="0" applyNumberFormat="1" applyFont="1" applyFill="1" applyBorder="1" applyAlignment="1">
      <alignment horizontal="center" vertical="center" wrapText="1"/>
    </xf>
    <xf numFmtId="3" fontId="6" fillId="6" borderId="5" xfId="0" applyNumberFormat="1" applyFont="1" applyFill="1" applyBorder="1" applyAlignment="1">
      <alignment horizontal="center" vertical="center" wrapText="1"/>
    </xf>
    <xf numFmtId="0" fontId="6" fillId="6" borderId="9" xfId="0" applyFont="1" applyFill="1" applyBorder="1" applyAlignment="1">
      <alignment vertical="center" wrapText="1"/>
    </xf>
    <xf numFmtId="0" fontId="6" fillId="6" borderId="5" xfId="0" applyFont="1" applyFill="1" applyBorder="1" applyAlignment="1">
      <alignment vertical="center" wrapText="1"/>
    </xf>
    <xf numFmtId="6" fontId="6" fillId="4" borderId="9" xfId="0" applyNumberFormat="1" applyFont="1" applyFill="1" applyBorder="1" applyAlignment="1">
      <alignment horizontal="center" vertical="center" wrapText="1"/>
    </xf>
    <xf numFmtId="6" fontId="6" fillId="4" borderId="6" xfId="0" applyNumberFormat="1" applyFont="1" applyFill="1" applyBorder="1" applyAlignment="1">
      <alignment horizontal="center" vertical="center" wrapText="1"/>
    </xf>
    <xf numFmtId="6" fontId="6" fillId="4" borderId="5" xfId="0" applyNumberFormat="1" applyFont="1" applyFill="1" applyBorder="1" applyAlignment="1">
      <alignment horizontal="center" vertical="center" wrapText="1"/>
    </xf>
    <xf numFmtId="6" fontId="6" fillId="6" borderId="9" xfId="0" applyNumberFormat="1" applyFont="1" applyFill="1" applyBorder="1" applyAlignment="1">
      <alignment horizontal="center" vertical="center" wrapText="1"/>
    </xf>
    <xf numFmtId="6" fontId="6" fillId="6" borderId="6" xfId="0" applyNumberFormat="1" applyFont="1" applyFill="1" applyBorder="1" applyAlignment="1">
      <alignment horizontal="center" vertical="center" wrapText="1"/>
    </xf>
    <xf numFmtId="6" fontId="6" fillId="6" borderId="5" xfId="0" applyNumberFormat="1"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9" xfId="0" applyFont="1" applyFill="1" applyBorder="1" applyAlignment="1">
      <alignment vertical="center" wrapText="1"/>
    </xf>
    <xf numFmtId="0" fontId="6" fillId="5" borderId="6" xfId="0" applyFont="1" applyFill="1" applyBorder="1" applyAlignment="1">
      <alignment vertical="center" wrapText="1"/>
    </xf>
    <xf numFmtId="0" fontId="6" fillId="5" borderId="5" xfId="0" applyFont="1" applyFill="1" applyBorder="1" applyAlignment="1">
      <alignment vertical="center" wrapText="1"/>
    </xf>
    <xf numFmtId="0" fontId="6" fillId="4" borderId="6" xfId="0" applyFont="1" applyFill="1" applyBorder="1" applyAlignment="1">
      <alignment vertical="center" wrapText="1"/>
    </xf>
    <xf numFmtId="0" fontId="6" fillId="6" borderId="6" xfId="0" applyFont="1" applyFill="1" applyBorder="1" applyAlignment="1">
      <alignment vertical="center" wrapText="1"/>
    </xf>
    <xf numFmtId="0" fontId="6" fillId="7" borderId="9"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9" xfId="0" applyFont="1" applyFill="1" applyBorder="1" applyAlignment="1">
      <alignment vertical="center" wrapText="1"/>
    </xf>
    <xf numFmtId="0" fontId="6" fillId="7" borderId="6" xfId="0" applyFont="1" applyFill="1" applyBorder="1" applyAlignment="1">
      <alignment vertical="center" wrapText="1"/>
    </xf>
    <xf numFmtId="0" fontId="6" fillId="7" borderId="5" xfId="0" applyFont="1" applyFill="1" applyBorder="1" applyAlignment="1">
      <alignment vertical="center" wrapText="1"/>
    </xf>
    <xf numFmtId="6" fontId="6" fillId="5" borderId="9" xfId="0" applyNumberFormat="1" applyFont="1" applyFill="1" applyBorder="1" applyAlignment="1">
      <alignment horizontal="center" vertical="center" wrapText="1"/>
    </xf>
    <xf numFmtId="6" fontId="6" fillId="5" borderId="6" xfId="0" applyNumberFormat="1" applyFont="1" applyFill="1" applyBorder="1" applyAlignment="1">
      <alignment horizontal="center" vertical="center" wrapText="1"/>
    </xf>
    <xf numFmtId="6" fontId="6" fillId="5" borderId="5" xfId="0" applyNumberFormat="1" applyFont="1" applyFill="1" applyBorder="1" applyAlignment="1">
      <alignment horizontal="center" vertical="center" wrapText="1"/>
    </xf>
    <xf numFmtId="6" fontId="6" fillId="7" borderId="9" xfId="0" applyNumberFormat="1" applyFont="1" applyFill="1" applyBorder="1" applyAlignment="1">
      <alignment horizontal="center" vertical="center" wrapText="1"/>
    </xf>
    <xf numFmtId="6" fontId="6" fillId="7" borderId="6" xfId="0" applyNumberFormat="1" applyFont="1" applyFill="1" applyBorder="1" applyAlignment="1">
      <alignment horizontal="center" vertical="center" wrapText="1"/>
    </xf>
    <xf numFmtId="6" fontId="6" fillId="7" borderId="5" xfId="0" applyNumberFormat="1" applyFont="1" applyFill="1" applyBorder="1" applyAlignment="1">
      <alignment horizontal="center" vertical="center" wrapText="1"/>
    </xf>
    <xf numFmtId="0" fontId="6" fillId="0" borderId="9" xfId="0" applyFont="1" applyBorder="1" applyAlignment="1">
      <alignment vertical="center" wrapText="1"/>
    </xf>
    <xf numFmtId="0" fontId="6" fillId="0" borderId="6" xfId="0" applyFont="1" applyBorder="1" applyAlignment="1">
      <alignment vertical="center" wrapText="1"/>
    </xf>
    <xf numFmtId="0" fontId="6" fillId="0" borderId="5" xfId="0" applyFont="1" applyBorder="1" applyAlignment="1">
      <alignment vertical="center" wrapText="1"/>
    </xf>
    <xf numFmtId="0" fontId="6" fillId="3" borderId="9" xfId="0" applyFont="1" applyFill="1" applyBorder="1" applyAlignment="1">
      <alignment vertical="center" wrapText="1"/>
    </xf>
    <xf numFmtId="0" fontId="6" fillId="3" borderId="6" xfId="0" applyFont="1" applyFill="1" applyBorder="1" applyAlignment="1">
      <alignment vertical="center" wrapText="1"/>
    </xf>
    <xf numFmtId="0" fontId="6" fillId="3" borderId="5" xfId="0" applyFont="1" applyFill="1" applyBorder="1" applyAlignment="1">
      <alignment vertical="center" wrapText="1"/>
    </xf>
    <xf numFmtId="0" fontId="4" fillId="0" borderId="9" xfId="0" applyFont="1" applyBorder="1" applyAlignment="1">
      <alignment vertical="center" wrapText="1"/>
    </xf>
    <xf numFmtId="0" fontId="4" fillId="0" borderId="6" xfId="0" applyFont="1" applyBorder="1" applyAlignment="1">
      <alignment vertical="center" wrapText="1"/>
    </xf>
    <xf numFmtId="0" fontId="4" fillId="0" borderId="5" xfId="0" applyFont="1" applyBorder="1" applyAlignment="1">
      <alignment vertical="center" wrapText="1"/>
    </xf>
    <xf numFmtId="0" fontId="4" fillId="3" borderId="9" xfId="0" applyFont="1" applyFill="1" applyBorder="1" applyAlignment="1">
      <alignment vertical="center" wrapText="1"/>
    </xf>
    <xf numFmtId="0" fontId="4" fillId="3" borderId="6" xfId="0" applyFont="1" applyFill="1" applyBorder="1" applyAlignment="1">
      <alignment vertical="center" wrapText="1"/>
    </xf>
    <xf numFmtId="0" fontId="4" fillId="3" borderId="5" xfId="0" applyFont="1" applyFill="1" applyBorder="1" applyAlignment="1">
      <alignment vertical="center" wrapText="1"/>
    </xf>
    <xf numFmtId="0" fontId="0" fillId="0" borderId="0" xfId="0" applyAlignment="1">
      <alignment wrapText="1"/>
    </xf>
    <xf numFmtId="0" fontId="29" fillId="0" borderId="0" xfId="0" applyFont="1" applyFill="1" applyBorder="1"/>
    <xf numFmtId="3" fontId="0" fillId="0" borderId="0" xfId="0" applyNumberFormat="1" applyFill="1"/>
    <xf numFmtId="169" fontId="0" fillId="0" borderId="0" xfId="0" applyNumberFormat="1" applyFill="1"/>
    <xf numFmtId="167" fontId="21" fillId="0" borderId="0" xfId="0" applyNumberFormat="1" applyFont="1" applyFill="1" applyBorder="1"/>
    <xf numFmtId="167" fontId="26" fillId="0" borderId="0" xfId="0" applyNumberFormat="1" applyFont="1" applyFill="1" applyBorder="1"/>
    <xf numFmtId="167" fontId="0" fillId="0" borderId="0" xfId="0" applyNumberFormat="1" applyFill="1" applyBorder="1"/>
    <xf numFmtId="167" fontId="2" fillId="0" borderId="0" xfId="0" applyNumberFormat="1" applyFont="1" applyFill="1" applyBorder="1"/>
    <xf numFmtId="0" fontId="26" fillId="0" borderId="0" xfId="0" applyFont="1" applyFill="1" applyBorder="1"/>
    <xf numFmtId="0" fontId="0" fillId="12" borderId="0" xfId="0" applyFill="1"/>
    <xf numFmtId="0" fontId="0" fillId="9" borderId="0" xfId="0" applyFill="1"/>
    <xf numFmtId="0" fontId="0" fillId="24" borderId="0" xfId="0" applyFill="1"/>
    <xf numFmtId="0" fontId="0" fillId="25" borderId="0" xfId="0" applyFill="1"/>
    <xf numFmtId="0" fontId="2" fillId="0" borderId="0" xfId="0" applyFont="1" applyAlignment="1">
      <alignment horizontal="center" wrapText="1"/>
    </xf>
  </cellXfs>
  <cellStyles count="1">
    <cellStyle name="Normal" xfId="0" builtinId="0"/>
  </cellStyles>
  <dxfs count="0"/>
  <tableStyles count="0" defaultTableStyle="TableStyleMedium2" defaultPivotStyle="PivotStyleLight16"/>
  <colors>
    <mruColors>
      <color rgb="FFFFFF99"/>
      <color rgb="FFFFCC99"/>
      <color rgb="FFFFCCCC"/>
      <color rgb="FFCCFF99"/>
      <color rgb="FF0066FF"/>
      <color rgb="FFCCFFFF"/>
      <color rgb="FFFF99CC"/>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probability of impact vs</a:t>
            </a:r>
            <a:r>
              <a:rPr lang="en-US" baseline="0"/>
              <a:t>. distance (miles)</a:t>
            </a:r>
            <a:endParaRPr lang="en-US"/>
          </a:p>
        </c:rich>
      </c:tx>
      <c:layout>
        <c:manualLayout>
          <c:xMode val="edge"/>
          <c:yMode val="edge"/>
          <c:x val="0.20852077865266841"/>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0539370078740152E-2"/>
          <c:y val="0.14393518518518519"/>
          <c:w val="0.8825717410323709"/>
          <c:h val="0.80513888888888885"/>
        </c:manualLayout>
      </c:layout>
      <c:scatterChart>
        <c:scatterStyle val="smoothMarker"/>
        <c:varyColors val="0"/>
        <c:ser>
          <c:idx val="0"/>
          <c:order val="0"/>
          <c:tx>
            <c:strRef>
              <c:f>'Safety - SubSurface Release'!$F$13</c:f>
              <c:strCache>
                <c:ptCount val="1"/>
                <c:pt idx="0">
                  <c:v>probability of impact</c:v>
                </c:pt>
              </c:strCache>
            </c:strRef>
          </c:tx>
          <c:spPr>
            <a:ln w="19050" cap="rnd">
              <a:solidFill>
                <a:schemeClr val="accent1"/>
              </a:solidFill>
              <a:round/>
            </a:ln>
            <a:effectLst/>
          </c:spPr>
          <c:marker>
            <c:symbol val="none"/>
          </c:marker>
          <c:xVal>
            <c:numRef>
              <c:f>'Safety - SubSurface Release'!$G$12:$L$12</c:f>
              <c:numCache>
                <c:formatCode>General</c:formatCode>
                <c:ptCount val="6"/>
                <c:pt idx="1">
                  <c:v>1</c:v>
                </c:pt>
                <c:pt idx="2">
                  <c:v>2</c:v>
                </c:pt>
                <c:pt idx="3">
                  <c:v>3</c:v>
                </c:pt>
                <c:pt idx="4">
                  <c:v>6</c:v>
                </c:pt>
                <c:pt idx="5">
                  <c:v>9</c:v>
                </c:pt>
              </c:numCache>
            </c:numRef>
          </c:xVal>
          <c:yVal>
            <c:numRef>
              <c:f>'Safety - SubSurface Release'!$G$13:$L$13</c:f>
              <c:numCache>
                <c:formatCode>General</c:formatCode>
                <c:ptCount val="6"/>
                <c:pt idx="1">
                  <c:v>0.8</c:v>
                </c:pt>
                <c:pt idx="2">
                  <c:v>0.18</c:v>
                </c:pt>
                <c:pt idx="3">
                  <c:v>1.89E-2</c:v>
                </c:pt>
                <c:pt idx="4">
                  <c:v>1E-3</c:v>
                </c:pt>
                <c:pt idx="5">
                  <c:v>1E-4</c:v>
                </c:pt>
              </c:numCache>
            </c:numRef>
          </c:yVal>
          <c:smooth val="1"/>
          <c:extLst>
            <c:ext xmlns:c16="http://schemas.microsoft.com/office/drawing/2014/chart" uri="{C3380CC4-5D6E-409C-BE32-E72D297353CC}">
              <c16:uniqueId val="{00000000-7F1F-4369-8A36-8B3FEB085D06}"/>
            </c:ext>
          </c:extLst>
        </c:ser>
        <c:dLbls>
          <c:showLegendKey val="0"/>
          <c:showVal val="0"/>
          <c:showCatName val="0"/>
          <c:showSerName val="0"/>
          <c:showPercent val="0"/>
          <c:showBubbleSize val="0"/>
        </c:dLbls>
        <c:axId val="726034688"/>
        <c:axId val="848413928"/>
      </c:scatterChart>
      <c:valAx>
        <c:axId val="726034688"/>
        <c:scaling>
          <c:orientation val="minMax"/>
          <c:max val="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13928"/>
        <c:crosses val="autoZero"/>
        <c:crossBetween val="midCat"/>
      </c:valAx>
      <c:valAx>
        <c:axId val="848413928"/>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0346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Impact Severity Probability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'Safety - SubSurface Release'!$G$1:$G$7</c:f>
              <c:strCache>
                <c:ptCount val="7"/>
                <c:pt idx="0">
                  <c:v>None-Insignif</c:v>
                </c:pt>
                <c:pt idx="1">
                  <c:v>Minor</c:v>
                </c:pt>
                <c:pt idx="2">
                  <c:v>Moderate</c:v>
                </c:pt>
                <c:pt idx="3">
                  <c:v>Serious</c:v>
                </c:pt>
                <c:pt idx="4">
                  <c:v>Severe</c:v>
                </c:pt>
                <c:pt idx="5">
                  <c:v>Critical</c:v>
                </c:pt>
                <c:pt idx="6">
                  <c:v>Fatal</c:v>
                </c:pt>
              </c:strCache>
            </c:strRef>
          </c:cat>
          <c:val>
            <c:numRef>
              <c:f>'Safety - SubSurface Release'!$H$1:$H$7</c:f>
              <c:numCache>
                <c:formatCode>General</c:formatCode>
                <c:ptCount val="7"/>
                <c:pt idx="0">
                  <c:v>0.94169384000000012</c:v>
                </c:pt>
                <c:pt idx="1">
                  <c:v>2.2797999999999999E-2</c:v>
                </c:pt>
                <c:pt idx="2">
                  <c:v>1.8770999999999999E-2</c:v>
                </c:pt>
                <c:pt idx="3">
                  <c:v>1.1134000000000002E-2</c:v>
                </c:pt>
                <c:pt idx="4">
                  <c:v>3.4480000000000001E-3</c:v>
                </c:pt>
                <c:pt idx="5">
                  <c:v>1.3695999999999999E-3</c:v>
                </c:pt>
                <c:pt idx="6">
                  <c:v>7.8556000000000003E-4</c:v>
                </c:pt>
              </c:numCache>
            </c:numRef>
          </c:val>
          <c:extLst>
            <c:ext xmlns:c16="http://schemas.microsoft.com/office/drawing/2014/chart" uri="{C3380CC4-5D6E-409C-BE32-E72D297353CC}">
              <c16:uniqueId val="{00000000-2789-4447-B0D9-14C4D3B96370}"/>
            </c:ext>
          </c:extLst>
        </c:ser>
        <c:dLbls>
          <c:showLegendKey val="0"/>
          <c:showVal val="0"/>
          <c:showCatName val="0"/>
          <c:showSerName val="0"/>
          <c:showPercent val="0"/>
          <c:showBubbleSize val="0"/>
        </c:dLbls>
        <c:gapWidth val="219"/>
        <c:overlap val="-27"/>
        <c:axId val="728537800"/>
        <c:axId val="728544360"/>
      </c:barChart>
      <c:catAx>
        <c:axId val="728537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8544360"/>
        <c:crosses val="autoZero"/>
        <c:auto val="1"/>
        <c:lblAlgn val="ctr"/>
        <c:lblOffset val="100"/>
        <c:noMultiLvlLbl val="0"/>
      </c:catAx>
      <c:valAx>
        <c:axId val="7285443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85378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s>
</file>

<file path=xl/drawings/_rels/drawing7.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s>
</file>

<file path=xl/drawings/_rels/drawing8.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oneCell">
    <xdr:from>
      <xdr:col>9</xdr:col>
      <xdr:colOff>47625</xdr:colOff>
      <xdr:row>1</xdr:row>
      <xdr:rowOff>111230</xdr:rowOff>
    </xdr:from>
    <xdr:to>
      <xdr:col>15</xdr:col>
      <xdr:colOff>388235</xdr:colOff>
      <xdr:row>10</xdr:row>
      <xdr:rowOff>119525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4924425" y="301730"/>
          <a:ext cx="4207760" cy="1722795"/>
        </a:xfrm>
        <a:prstGeom prst="rect">
          <a:avLst/>
        </a:prstGeom>
      </xdr:spPr>
    </xdr:pic>
    <xdr:clientData/>
  </xdr:twoCellAnchor>
  <xdr:twoCellAnchor editAs="oneCell">
    <xdr:from>
      <xdr:col>9</xdr:col>
      <xdr:colOff>47625</xdr:colOff>
      <xdr:row>12</xdr:row>
      <xdr:rowOff>28575</xdr:rowOff>
    </xdr:from>
    <xdr:to>
      <xdr:col>15</xdr:col>
      <xdr:colOff>390525</xdr:colOff>
      <xdr:row>23</xdr:row>
      <xdr:rowOff>27436</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4924425" y="2314575"/>
          <a:ext cx="4210050" cy="2094361"/>
        </a:xfrm>
        <a:prstGeom prst="rect">
          <a:avLst/>
        </a:prstGeom>
      </xdr:spPr>
    </xdr:pic>
    <xdr:clientData/>
  </xdr:twoCellAnchor>
  <xdr:twoCellAnchor>
    <xdr:from>
      <xdr:col>0</xdr:col>
      <xdr:colOff>476250</xdr:colOff>
      <xdr:row>12</xdr:row>
      <xdr:rowOff>76200</xdr:rowOff>
    </xdr:from>
    <xdr:to>
      <xdr:col>1</xdr:col>
      <xdr:colOff>66675</xdr:colOff>
      <xdr:row>12</xdr:row>
      <xdr:rowOff>85725</xdr:rowOff>
    </xdr:to>
    <xdr:cxnSp macro="">
      <xdr:nvCxnSpPr>
        <xdr:cNvPr id="7" name="Straight Arrow Connector 6">
          <a:extLst>
            <a:ext uri="{FF2B5EF4-FFF2-40B4-BE49-F238E27FC236}">
              <a16:creationId xmlns:a16="http://schemas.microsoft.com/office/drawing/2014/main" id="{00000000-0008-0000-0200-000007000000}"/>
            </a:ext>
          </a:extLst>
        </xdr:cNvPr>
        <xdr:cNvCxnSpPr/>
      </xdr:nvCxnSpPr>
      <xdr:spPr>
        <a:xfrm flipV="1">
          <a:off x="476250" y="2362200"/>
          <a:ext cx="200025" cy="9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295275</xdr:colOff>
      <xdr:row>24</xdr:row>
      <xdr:rowOff>114300</xdr:rowOff>
    </xdr:from>
    <xdr:to>
      <xdr:col>1</xdr:col>
      <xdr:colOff>19050</xdr:colOff>
      <xdr:row>24</xdr:row>
      <xdr:rowOff>114301</xdr:rowOff>
    </xdr:to>
    <xdr:cxnSp macro="">
      <xdr:nvCxnSpPr>
        <xdr:cNvPr id="9" name="Straight Arrow Connector 8">
          <a:extLst>
            <a:ext uri="{FF2B5EF4-FFF2-40B4-BE49-F238E27FC236}">
              <a16:creationId xmlns:a16="http://schemas.microsoft.com/office/drawing/2014/main" id="{00000000-0008-0000-0200-000009000000}"/>
            </a:ext>
          </a:extLst>
        </xdr:cNvPr>
        <xdr:cNvCxnSpPr/>
      </xdr:nvCxnSpPr>
      <xdr:spPr>
        <a:xfrm flipV="1">
          <a:off x="295275" y="4495800"/>
          <a:ext cx="485775" cy="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571500</xdr:colOff>
      <xdr:row>24</xdr:row>
      <xdr:rowOff>104775</xdr:rowOff>
    </xdr:from>
    <xdr:to>
      <xdr:col>3</xdr:col>
      <xdr:colOff>485775</xdr:colOff>
      <xdr:row>24</xdr:row>
      <xdr:rowOff>104775</xdr:rowOff>
    </xdr:to>
    <xdr:cxnSp macro="">
      <xdr:nvCxnSpPr>
        <xdr:cNvPr id="11" name="Straight Arrow Connector 10">
          <a:extLst>
            <a:ext uri="{FF2B5EF4-FFF2-40B4-BE49-F238E27FC236}">
              <a16:creationId xmlns:a16="http://schemas.microsoft.com/office/drawing/2014/main" id="{00000000-0008-0000-0200-00000B000000}"/>
            </a:ext>
          </a:extLst>
        </xdr:cNvPr>
        <xdr:cNvCxnSpPr/>
      </xdr:nvCxnSpPr>
      <xdr:spPr>
        <a:xfrm>
          <a:off x="1790700" y="4486275"/>
          <a:ext cx="523875"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295275</xdr:colOff>
      <xdr:row>28</xdr:row>
      <xdr:rowOff>114300</xdr:rowOff>
    </xdr:from>
    <xdr:to>
      <xdr:col>1</xdr:col>
      <xdr:colOff>19050</xdr:colOff>
      <xdr:row>28</xdr:row>
      <xdr:rowOff>114301</xdr:rowOff>
    </xdr:to>
    <xdr:cxnSp macro="">
      <xdr:nvCxnSpPr>
        <xdr:cNvPr id="5" name="Straight Arrow Connector 4">
          <a:extLst>
            <a:ext uri="{FF2B5EF4-FFF2-40B4-BE49-F238E27FC236}">
              <a16:creationId xmlns:a16="http://schemas.microsoft.com/office/drawing/2014/main" id="{00000000-0008-0000-0300-000005000000}"/>
            </a:ext>
          </a:extLst>
        </xdr:cNvPr>
        <xdr:cNvCxnSpPr/>
      </xdr:nvCxnSpPr>
      <xdr:spPr>
        <a:xfrm flipV="1">
          <a:off x="295275" y="4495800"/>
          <a:ext cx="485775" cy="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571500</xdr:colOff>
      <xdr:row>28</xdr:row>
      <xdr:rowOff>104775</xdr:rowOff>
    </xdr:from>
    <xdr:to>
      <xdr:col>3</xdr:col>
      <xdr:colOff>485775</xdr:colOff>
      <xdr:row>28</xdr:row>
      <xdr:rowOff>104775</xdr:rowOff>
    </xdr:to>
    <xdr:cxnSp macro="">
      <xdr:nvCxnSpPr>
        <xdr:cNvPr id="6" name="Straight Arrow Connector 5">
          <a:extLst>
            <a:ext uri="{FF2B5EF4-FFF2-40B4-BE49-F238E27FC236}">
              <a16:creationId xmlns:a16="http://schemas.microsoft.com/office/drawing/2014/main" id="{00000000-0008-0000-0300-000006000000}"/>
            </a:ext>
          </a:extLst>
        </xdr:cNvPr>
        <xdr:cNvCxnSpPr/>
      </xdr:nvCxnSpPr>
      <xdr:spPr>
        <a:xfrm>
          <a:off x="1943100" y="4486275"/>
          <a:ext cx="523875"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83820</xdr:colOff>
      <xdr:row>0</xdr:row>
      <xdr:rowOff>63605</xdr:rowOff>
    </xdr:from>
    <xdr:to>
      <xdr:col>24</xdr:col>
      <xdr:colOff>24380</xdr:colOff>
      <xdr:row>9</xdr:row>
      <xdr:rowOff>71900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2900660" y="63605"/>
          <a:ext cx="4207760" cy="1654215"/>
        </a:xfrm>
        <a:prstGeom prst="rect">
          <a:avLst/>
        </a:prstGeom>
      </xdr:spPr>
    </xdr:pic>
    <xdr:clientData/>
  </xdr:twoCellAnchor>
  <xdr:twoCellAnchor>
    <xdr:from>
      <xdr:col>3</xdr:col>
      <xdr:colOff>171450</xdr:colOff>
      <xdr:row>10</xdr:row>
      <xdr:rowOff>114300</xdr:rowOff>
    </xdr:from>
    <xdr:to>
      <xdr:col>5</xdr:col>
      <xdr:colOff>9525</xdr:colOff>
      <xdr:row>10</xdr:row>
      <xdr:rowOff>114301</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a:off x="2543175" y="2019300"/>
          <a:ext cx="1181100" cy="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312420</xdr:colOff>
      <xdr:row>9</xdr:row>
      <xdr:rowOff>137160</xdr:rowOff>
    </xdr:from>
    <xdr:to>
      <xdr:col>23</xdr:col>
      <xdr:colOff>167640</xdr:colOff>
      <xdr:row>21</xdr:row>
      <xdr:rowOff>15240</xdr:rowOff>
    </xdr:to>
    <xdr:graphicFrame macro="">
      <xdr:nvGraphicFramePr>
        <xdr:cNvPr id="4" name="Chart 3">
          <a:extLst>
            <a:ext uri="{FF2B5EF4-FFF2-40B4-BE49-F238E27FC236}">
              <a16:creationId xmlns:a16="http://schemas.microsoft.com/office/drawing/2014/main" id="{D5C5DD65-B116-49F1-89A8-FAF4F65FEC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624840</xdr:colOff>
      <xdr:row>0</xdr:row>
      <xdr:rowOff>0</xdr:rowOff>
    </xdr:from>
    <xdr:to>
      <xdr:col>13</xdr:col>
      <xdr:colOff>434340</xdr:colOff>
      <xdr:row>10</xdr:row>
      <xdr:rowOff>76200</xdr:rowOff>
    </xdr:to>
    <xdr:graphicFrame macro="">
      <xdr:nvGraphicFramePr>
        <xdr:cNvPr id="7" name="Chart 6">
          <a:extLst>
            <a:ext uri="{FF2B5EF4-FFF2-40B4-BE49-F238E27FC236}">
              <a16:creationId xmlns:a16="http://schemas.microsoft.com/office/drawing/2014/main" id="{4E19E630-A2FB-41E4-A7F8-F730E13D36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257175</xdr:colOff>
      <xdr:row>4</xdr:row>
      <xdr:rowOff>66675</xdr:rowOff>
    </xdr:from>
    <xdr:to>
      <xdr:col>15</xdr:col>
      <xdr:colOff>152400</xdr:colOff>
      <xdr:row>22</xdr:row>
      <xdr:rowOff>273050</xdr:rowOff>
    </xdr:to>
    <xdr:pic>
      <xdr:nvPicPr>
        <xdr:cNvPr id="9" name="Picture 8">
          <a:extLst>
            <a:ext uri="{FF2B5EF4-FFF2-40B4-BE49-F238E27FC236}">
              <a16:creationId xmlns:a16="http://schemas.microsoft.com/office/drawing/2014/main" id="{00000000-0008-0000-06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10575" y="828675"/>
          <a:ext cx="2714625" cy="8197850"/>
        </a:xfrm>
        <a:prstGeom prst="rect">
          <a:avLst/>
        </a:prstGeom>
        <a:noFill/>
        <a:ln>
          <a:noFill/>
        </a:ln>
      </xdr:spPr>
    </xdr:pic>
    <xdr:clientData/>
  </xdr:twoCellAnchor>
  <xdr:twoCellAnchor editAs="oneCell">
    <xdr:from>
      <xdr:col>16</xdr:col>
      <xdr:colOff>0</xdr:colOff>
      <xdr:row>3</xdr:row>
      <xdr:rowOff>76200</xdr:rowOff>
    </xdr:from>
    <xdr:to>
      <xdr:col>18</xdr:col>
      <xdr:colOff>0</xdr:colOff>
      <xdr:row>18</xdr:row>
      <xdr:rowOff>188595</xdr:rowOff>
    </xdr:to>
    <xdr:pic>
      <xdr:nvPicPr>
        <xdr:cNvPr id="10" name="Picture 9">
          <a:extLst>
            <a:ext uri="{FF2B5EF4-FFF2-40B4-BE49-F238E27FC236}">
              <a16:creationId xmlns:a16="http://schemas.microsoft.com/office/drawing/2014/main" id="{00000000-0008-0000-06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44725" y="800100"/>
          <a:ext cx="2257425" cy="8761095"/>
        </a:xfrm>
        <a:prstGeom prst="rect">
          <a:avLst/>
        </a:prstGeom>
        <a:noFill/>
        <a:ln>
          <a:noFill/>
        </a:ln>
      </xdr:spPr>
    </xdr:pic>
    <xdr:clientData/>
  </xdr:twoCellAnchor>
  <xdr:twoCellAnchor>
    <xdr:from>
      <xdr:col>12</xdr:col>
      <xdr:colOff>0</xdr:colOff>
      <xdr:row>62</xdr:row>
      <xdr:rowOff>0</xdr:rowOff>
    </xdr:from>
    <xdr:to>
      <xdr:col>13</xdr:col>
      <xdr:colOff>247650</xdr:colOff>
      <xdr:row>62</xdr:row>
      <xdr:rowOff>171450</xdr:rowOff>
    </xdr:to>
    <xdr:pic>
      <xdr:nvPicPr>
        <xdr:cNvPr id="7" name="Picture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44100" y="26498550"/>
          <a:ext cx="137160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180975</xdr:colOff>
      <xdr:row>96</xdr:row>
      <xdr:rowOff>9525</xdr:rowOff>
    </xdr:from>
    <xdr:to>
      <xdr:col>12</xdr:col>
      <xdr:colOff>228600</xdr:colOff>
      <xdr:row>96</xdr:row>
      <xdr:rowOff>180975</xdr:rowOff>
    </xdr:to>
    <xdr:pic>
      <xdr:nvPicPr>
        <xdr:cNvPr id="12" name="Picture 11">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763000" y="33366075"/>
          <a:ext cx="140970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124</xdr:row>
      <xdr:rowOff>19050</xdr:rowOff>
    </xdr:from>
    <xdr:to>
      <xdr:col>11</xdr:col>
      <xdr:colOff>47625</xdr:colOff>
      <xdr:row>125</xdr:row>
      <xdr:rowOff>0</xdr:rowOff>
    </xdr:to>
    <xdr:pic>
      <xdr:nvPicPr>
        <xdr:cNvPr id="14" name="Picture 13">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29275" y="39223950"/>
          <a:ext cx="30003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154</xdr:row>
      <xdr:rowOff>0</xdr:rowOff>
    </xdr:from>
    <xdr:to>
      <xdr:col>9</xdr:col>
      <xdr:colOff>85725</xdr:colOff>
      <xdr:row>154</xdr:row>
      <xdr:rowOff>171450</xdr:rowOff>
    </xdr:to>
    <xdr:pic>
      <xdr:nvPicPr>
        <xdr:cNvPr id="18" name="Picture 17">
          <a:extLst>
            <a:ext uri="{FF2B5EF4-FFF2-40B4-BE49-F238E27FC236}">
              <a16:creationId xmlns:a16="http://schemas.microsoft.com/office/drawing/2014/main" id="{00000000-0008-0000-0600-000012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019675" y="45281850"/>
          <a:ext cx="24288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219075</xdr:colOff>
      <xdr:row>181</xdr:row>
      <xdr:rowOff>0</xdr:rowOff>
    </xdr:from>
    <xdr:to>
      <xdr:col>9</xdr:col>
      <xdr:colOff>171450</xdr:colOff>
      <xdr:row>181</xdr:row>
      <xdr:rowOff>171450</xdr:rowOff>
    </xdr:to>
    <xdr:pic>
      <xdr:nvPicPr>
        <xdr:cNvPr id="19" name="Picture 18">
          <a:extLst>
            <a:ext uri="{FF2B5EF4-FFF2-40B4-BE49-F238E27FC236}">
              <a16:creationId xmlns:a16="http://schemas.microsoft.com/office/drawing/2014/main" id="{00000000-0008-0000-0600-00001300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43500" y="50787300"/>
          <a:ext cx="23907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133350</xdr:colOff>
      <xdr:row>235</xdr:row>
      <xdr:rowOff>0</xdr:rowOff>
    </xdr:from>
    <xdr:to>
      <xdr:col>10</xdr:col>
      <xdr:colOff>533400</xdr:colOff>
      <xdr:row>235</xdr:row>
      <xdr:rowOff>171450</xdr:rowOff>
    </xdr:to>
    <xdr:pic>
      <xdr:nvPicPr>
        <xdr:cNvPr id="20" name="Picture 19">
          <a:extLst>
            <a:ext uri="{FF2B5EF4-FFF2-40B4-BE49-F238E27FC236}">
              <a16:creationId xmlns:a16="http://schemas.microsoft.com/office/drawing/2014/main" id="{00000000-0008-0000-0600-000014000000}"/>
            </a:ext>
          </a:extLst>
        </xdr:cNvPr>
        <xdr:cNvPicPr>
          <a:picLocks noChangeAspect="1" noChangeArrowheads="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886575" y="61817250"/>
          <a:ext cx="16192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114300</xdr:colOff>
      <xdr:row>248</xdr:row>
      <xdr:rowOff>9525</xdr:rowOff>
    </xdr:from>
    <xdr:to>
      <xdr:col>11</xdr:col>
      <xdr:colOff>200025</xdr:colOff>
      <xdr:row>248</xdr:row>
      <xdr:rowOff>180975</xdr:rowOff>
    </xdr:to>
    <xdr:pic>
      <xdr:nvPicPr>
        <xdr:cNvPr id="22" name="Picture 21">
          <a:extLst>
            <a:ext uri="{FF2B5EF4-FFF2-40B4-BE49-F238E27FC236}">
              <a16:creationId xmlns:a16="http://schemas.microsoft.com/office/drawing/2014/main" id="{00000000-0008-0000-0600-000016000000}"/>
            </a:ext>
          </a:extLst>
        </xdr:cNvPr>
        <xdr:cNvPicPr>
          <a:picLocks noChangeAspect="1" noChangeArrowheads="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867525" y="64522350"/>
          <a:ext cx="191452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3686175</xdr:colOff>
      <xdr:row>15</xdr:row>
      <xdr:rowOff>114300</xdr:rowOff>
    </xdr:from>
    <xdr:to>
      <xdr:col>1</xdr:col>
      <xdr:colOff>4314825</xdr:colOff>
      <xdr:row>15</xdr:row>
      <xdr:rowOff>114300</xdr:rowOff>
    </xdr:to>
    <xdr:cxnSp macro="">
      <xdr:nvCxnSpPr>
        <xdr:cNvPr id="4" name="Straight Arrow Connector 3">
          <a:extLst>
            <a:ext uri="{FF2B5EF4-FFF2-40B4-BE49-F238E27FC236}">
              <a16:creationId xmlns:a16="http://schemas.microsoft.com/office/drawing/2014/main" id="{00000000-0008-0000-0700-000004000000}"/>
            </a:ext>
          </a:extLst>
        </xdr:cNvPr>
        <xdr:cNvCxnSpPr/>
      </xdr:nvCxnSpPr>
      <xdr:spPr>
        <a:xfrm>
          <a:off x="6324600" y="6429375"/>
          <a:ext cx="62865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21</xdr:col>
      <xdr:colOff>0</xdr:colOff>
      <xdr:row>73</xdr:row>
      <xdr:rowOff>0</xdr:rowOff>
    </xdr:from>
    <xdr:to>
      <xdr:col>32</xdr:col>
      <xdr:colOff>175260</xdr:colOff>
      <xdr:row>89</xdr:row>
      <xdr:rowOff>68580</xdr:rowOff>
    </xdr:to>
    <xdr:pic>
      <xdr:nvPicPr>
        <xdr:cNvPr id="3" name="Picture 2">
          <a:extLst>
            <a:ext uri="{FF2B5EF4-FFF2-40B4-BE49-F238E27FC236}">
              <a16:creationId xmlns:a16="http://schemas.microsoft.com/office/drawing/2014/main" id="{609FCCDC-5F85-4EEC-B442-3C764D9597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016960" y="13898880"/>
          <a:ext cx="6880860" cy="2994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90</xdr:row>
      <xdr:rowOff>0</xdr:rowOff>
    </xdr:from>
    <xdr:to>
      <xdr:col>31</xdr:col>
      <xdr:colOff>205740</xdr:colOff>
      <xdr:row>100</xdr:row>
      <xdr:rowOff>106680</xdr:rowOff>
    </xdr:to>
    <xdr:pic>
      <xdr:nvPicPr>
        <xdr:cNvPr id="5" name="Picture 4">
          <a:extLst>
            <a:ext uri="{FF2B5EF4-FFF2-40B4-BE49-F238E27FC236}">
              <a16:creationId xmlns:a16="http://schemas.microsoft.com/office/drawing/2014/main" id="{AE639DC4-9D01-4B25-9B6F-9382E22CBA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16960" y="17007840"/>
          <a:ext cx="6301740" cy="1935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403860</xdr:colOff>
      <xdr:row>78</xdr:row>
      <xdr:rowOff>30480</xdr:rowOff>
    </xdr:from>
    <xdr:to>
      <xdr:col>43</xdr:col>
      <xdr:colOff>228600</xdr:colOff>
      <xdr:row>101</xdr:row>
      <xdr:rowOff>84676</xdr:rowOff>
    </xdr:to>
    <xdr:pic>
      <xdr:nvPicPr>
        <xdr:cNvPr id="7" name="Picture 6">
          <a:extLst>
            <a:ext uri="{FF2B5EF4-FFF2-40B4-BE49-F238E27FC236}">
              <a16:creationId xmlns:a16="http://schemas.microsoft.com/office/drawing/2014/main" id="{CDD4F833-C670-4BDF-BF5C-8A7345D7783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26420" y="14843760"/>
          <a:ext cx="6530340" cy="4260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502920</xdr:colOff>
      <xdr:row>63</xdr:row>
      <xdr:rowOff>7620</xdr:rowOff>
    </xdr:from>
    <xdr:to>
      <xdr:col>43</xdr:col>
      <xdr:colOff>411480</xdr:colOff>
      <xdr:row>75</xdr:row>
      <xdr:rowOff>136186</xdr:rowOff>
    </xdr:to>
    <xdr:pic>
      <xdr:nvPicPr>
        <xdr:cNvPr id="9" name="Picture 8">
          <a:extLst>
            <a:ext uri="{FF2B5EF4-FFF2-40B4-BE49-F238E27FC236}">
              <a16:creationId xmlns:a16="http://schemas.microsoft.com/office/drawing/2014/main" id="{7F29F409-9531-4C34-80C9-54E5A3C2669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225480" y="12077700"/>
          <a:ext cx="6614160" cy="2323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0</xdr:colOff>
      <xdr:row>61</xdr:row>
      <xdr:rowOff>0</xdr:rowOff>
    </xdr:from>
    <xdr:to>
      <xdr:col>55</xdr:col>
      <xdr:colOff>266700</xdr:colOff>
      <xdr:row>70</xdr:row>
      <xdr:rowOff>91440</xdr:rowOff>
    </xdr:to>
    <xdr:pic>
      <xdr:nvPicPr>
        <xdr:cNvPr id="11" name="Picture 10">
          <a:extLst>
            <a:ext uri="{FF2B5EF4-FFF2-40B4-BE49-F238E27FC236}">
              <a16:creationId xmlns:a16="http://schemas.microsoft.com/office/drawing/2014/main" id="{F8D157C6-D12F-4D88-B59A-920372A5423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037760" y="11704320"/>
          <a:ext cx="6972300" cy="1737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0</xdr:colOff>
      <xdr:row>71</xdr:row>
      <xdr:rowOff>0</xdr:rowOff>
    </xdr:from>
    <xdr:to>
      <xdr:col>55</xdr:col>
      <xdr:colOff>449580</xdr:colOff>
      <xdr:row>96</xdr:row>
      <xdr:rowOff>175260</xdr:rowOff>
    </xdr:to>
    <xdr:pic>
      <xdr:nvPicPr>
        <xdr:cNvPr id="13" name="Picture 12">
          <a:extLst>
            <a:ext uri="{FF2B5EF4-FFF2-40B4-BE49-F238E27FC236}">
              <a16:creationId xmlns:a16="http://schemas.microsoft.com/office/drawing/2014/main" id="{57259342-0F94-4923-8A21-9618CBEFF58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3037760" y="13533120"/>
          <a:ext cx="7155180" cy="4747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21</xdr:col>
      <xdr:colOff>0</xdr:colOff>
      <xdr:row>73</xdr:row>
      <xdr:rowOff>0</xdr:rowOff>
    </xdr:from>
    <xdr:to>
      <xdr:col>32</xdr:col>
      <xdr:colOff>175260</xdr:colOff>
      <xdr:row>89</xdr:row>
      <xdr:rowOff>68580</xdr:rowOff>
    </xdr:to>
    <xdr:pic>
      <xdr:nvPicPr>
        <xdr:cNvPr id="2" name="Picture 1">
          <a:extLst>
            <a:ext uri="{FF2B5EF4-FFF2-40B4-BE49-F238E27FC236}">
              <a16:creationId xmlns:a16="http://schemas.microsoft.com/office/drawing/2014/main" id="{BECAA05A-E9DE-4A84-AA38-26A79E1ED9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27700" y="13898880"/>
          <a:ext cx="6880860" cy="2994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90</xdr:row>
      <xdr:rowOff>0</xdr:rowOff>
    </xdr:from>
    <xdr:to>
      <xdr:col>31</xdr:col>
      <xdr:colOff>205740</xdr:colOff>
      <xdr:row>100</xdr:row>
      <xdr:rowOff>106680</xdr:rowOff>
    </xdr:to>
    <xdr:pic>
      <xdr:nvPicPr>
        <xdr:cNvPr id="3" name="Picture 2">
          <a:extLst>
            <a:ext uri="{FF2B5EF4-FFF2-40B4-BE49-F238E27FC236}">
              <a16:creationId xmlns:a16="http://schemas.microsoft.com/office/drawing/2014/main" id="{D99D96D3-2F3C-424B-BBE5-13D3850AB2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27700" y="17007840"/>
          <a:ext cx="6301740" cy="1935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403860</xdr:colOff>
      <xdr:row>78</xdr:row>
      <xdr:rowOff>30480</xdr:rowOff>
    </xdr:from>
    <xdr:to>
      <xdr:col>43</xdr:col>
      <xdr:colOff>228600</xdr:colOff>
      <xdr:row>101</xdr:row>
      <xdr:rowOff>84676</xdr:rowOff>
    </xdr:to>
    <xdr:pic>
      <xdr:nvPicPr>
        <xdr:cNvPr id="4" name="Picture 3">
          <a:extLst>
            <a:ext uri="{FF2B5EF4-FFF2-40B4-BE49-F238E27FC236}">
              <a16:creationId xmlns:a16="http://schemas.microsoft.com/office/drawing/2014/main" id="{23334948-6111-4AE2-8C4B-B96A1D886FC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37160" y="14843760"/>
          <a:ext cx="6530340" cy="4260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502920</xdr:colOff>
      <xdr:row>63</xdr:row>
      <xdr:rowOff>7620</xdr:rowOff>
    </xdr:from>
    <xdr:to>
      <xdr:col>43</xdr:col>
      <xdr:colOff>411480</xdr:colOff>
      <xdr:row>75</xdr:row>
      <xdr:rowOff>136186</xdr:rowOff>
    </xdr:to>
    <xdr:pic>
      <xdr:nvPicPr>
        <xdr:cNvPr id="5" name="Picture 4">
          <a:extLst>
            <a:ext uri="{FF2B5EF4-FFF2-40B4-BE49-F238E27FC236}">
              <a16:creationId xmlns:a16="http://schemas.microsoft.com/office/drawing/2014/main" id="{655E92D4-195C-4B66-BA5A-6844CCC78D4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336220" y="12077700"/>
          <a:ext cx="6614160" cy="2323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0</xdr:colOff>
      <xdr:row>61</xdr:row>
      <xdr:rowOff>0</xdr:rowOff>
    </xdr:from>
    <xdr:to>
      <xdr:col>55</xdr:col>
      <xdr:colOff>266700</xdr:colOff>
      <xdr:row>70</xdr:row>
      <xdr:rowOff>91440</xdr:rowOff>
    </xdr:to>
    <xdr:pic>
      <xdr:nvPicPr>
        <xdr:cNvPr id="6" name="Picture 5">
          <a:extLst>
            <a:ext uri="{FF2B5EF4-FFF2-40B4-BE49-F238E27FC236}">
              <a16:creationId xmlns:a16="http://schemas.microsoft.com/office/drawing/2014/main" id="{6A6A8050-7FB1-4371-9907-CEE2FBC1777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148500" y="11704320"/>
          <a:ext cx="6972300" cy="1737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0</xdr:colOff>
      <xdr:row>71</xdr:row>
      <xdr:rowOff>0</xdr:rowOff>
    </xdr:from>
    <xdr:to>
      <xdr:col>55</xdr:col>
      <xdr:colOff>449580</xdr:colOff>
      <xdr:row>96</xdr:row>
      <xdr:rowOff>175260</xdr:rowOff>
    </xdr:to>
    <xdr:pic>
      <xdr:nvPicPr>
        <xdr:cNvPr id="7" name="Picture 6">
          <a:extLst>
            <a:ext uri="{FF2B5EF4-FFF2-40B4-BE49-F238E27FC236}">
              <a16:creationId xmlns:a16="http://schemas.microsoft.com/office/drawing/2014/main" id="{D15AF8D1-78F9-482A-95CB-B80FC94A718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5148500" y="13533120"/>
          <a:ext cx="7155180" cy="4747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21</xdr:col>
      <xdr:colOff>0</xdr:colOff>
      <xdr:row>73</xdr:row>
      <xdr:rowOff>0</xdr:rowOff>
    </xdr:from>
    <xdr:to>
      <xdr:col>32</xdr:col>
      <xdr:colOff>175260</xdr:colOff>
      <xdr:row>89</xdr:row>
      <xdr:rowOff>68580</xdr:rowOff>
    </xdr:to>
    <xdr:pic>
      <xdr:nvPicPr>
        <xdr:cNvPr id="2" name="Picture 1">
          <a:extLst>
            <a:ext uri="{FF2B5EF4-FFF2-40B4-BE49-F238E27FC236}">
              <a16:creationId xmlns:a16="http://schemas.microsoft.com/office/drawing/2014/main" id="{70610B1D-5438-4063-943D-A5ECFB6812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27700" y="13898880"/>
          <a:ext cx="6880860" cy="2994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90</xdr:row>
      <xdr:rowOff>0</xdr:rowOff>
    </xdr:from>
    <xdr:to>
      <xdr:col>31</xdr:col>
      <xdr:colOff>205740</xdr:colOff>
      <xdr:row>100</xdr:row>
      <xdr:rowOff>106680</xdr:rowOff>
    </xdr:to>
    <xdr:pic>
      <xdr:nvPicPr>
        <xdr:cNvPr id="3" name="Picture 2">
          <a:extLst>
            <a:ext uri="{FF2B5EF4-FFF2-40B4-BE49-F238E27FC236}">
              <a16:creationId xmlns:a16="http://schemas.microsoft.com/office/drawing/2014/main" id="{BA4348B5-65F0-4F0B-919A-2475E042C3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27700" y="17007840"/>
          <a:ext cx="6301740" cy="1935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403860</xdr:colOff>
      <xdr:row>78</xdr:row>
      <xdr:rowOff>30480</xdr:rowOff>
    </xdr:from>
    <xdr:to>
      <xdr:col>43</xdr:col>
      <xdr:colOff>228600</xdr:colOff>
      <xdr:row>101</xdr:row>
      <xdr:rowOff>84676</xdr:rowOff>
    </xdr:to>
    <xdr:pic>
      <xdr:nvPicPr>
        <xdr:cNvPr id="4" name="Picture 3">
          <a:extLst>
            <a:ext uri="{FF2B5EF4-FFF2-40B4-BE49-F238E27FC236}">
              <a16:creationId xmlns:a16="http://schemas.microsoft.com/office/drawing/2014/main" id="{E001AD0B-C953-4546-8C79-038CE20A16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37160" y="14843760"/>
          <a:ext cx="6530340" cy="4260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502920</xdr:colOff>
      <xdr:row>63</xdr:row>
      <xdr:rowOff>7620</xdr:rowOff>
    </xdr:from>
    <xdr:to>
      <xdr:col>43</xdr:col>
      <xdr:colOff>411480</xdr:colOff>
      <xdr:row>75</xdr:row>
      <xdr:rowOff>136186</xdr:rowOff>
    </xdr:to>
    <xdr:pic>
      <xdr:nvPicPr>
        <xdr:cNvPr id="5" name="Picture 4">
          <a:extLst>
            <a:ext uri="{FF2B5EF4-FFF2-40B4-BE49-F238E27FC236}">
              <a16:creationId xmlns:a16="http://schemas.microsoft.com/office/drawing/2014/main" id="{95DFF454-0A14-4C3F-8813-27AC93A88D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336220" y="12077700"/>
          <a:ext cx="6614160" cy="2323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0</xdr:colOff>
      <xdr:row>61</xdr:row>
      <xdr:rowOff>0</xdr:rowOff>
    </xdr:from>
    <xdr:to>
      <xdr:col>55</xdr:col>
      <xdr:colOff>266700</xdr:colOff>
      <xdr:row>70</xdr:row>
      <xdr:rowOff>91440</xdr:rowOff>
    </xdr:to>
    <xdr:pic>
      <xdr:nvPicPr>
        <xdr:cNvPr id="6" name="Picture 5">
          <a:extLst>
            <a:ext uri="{FF2B5EF4-FFF2-40B4-BE49-F238E27FC236}">
              <a16:creationId xmlns:a16="http://schemas.microsoft.com/office/drawing/2014/main" id="{3DC51C9B-1E47-489F-BE5B-8D5B95DC7A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148500" y="11704320"/>
          <a:ext cx="6972300" cy="1737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0</xdr:colOff>
      <xdr:row>71</xdr:row>
      <xdr:rowOff>0</xdr:rowOff>
    </xdr:from>
    <xdr:to>
      <xdr:col>55</xdr:col>
      <xdr:colOff>449580</xdr:colOff>
      <xdr:row>96</xdr:row>
      <xdr:rowOff>175260</xdr:rowOff>
    </xdr:to>
    <xdr:pic>
      <xdr:nvPicPr>
        <xdr:cNvPr id="7" name="Picture 6">
          <a:extLst>
            <a:ext uri="{FF2B5EF4-FFF2-40B4-BE49-F238E27FC236}">
              <a16:creationId xmlns:a16="http://schemas.microsoft.com/office/drawing/2014/main" id="{A5382A73-525F-444A-8B77-B56ECACF306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5148500" y="13533120"/>
          <a:ext cx="7155180" cy="4747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2"/>
  <sheetViews>
    <sheetView topLeftCell="A3" zoomScale="125" zoomScaleNormal="125" workbookViewId="0">
      <selection activeCell="C18" sqref="C18"/>
    </sheetView>
  </sheetViews>
  <sheetFormatPr defaultRowHeight="14.4" x14ac:dyDescent="0.3"/>
  <sheetData>
    <row r="1" spans="1:2" x14ac:dyDescent="0.3">
      <c r="A1" s="86" t="s">
        <v>683</v>
      </c>
    </row>
    <row r="3" spans="1:2" x14ac:dyDescent="0.3">
      <c r="A3" t="s">
        <v>646</v>
      </c>
    </row>
    <row r="5" spans="1:2" x14ac:dyDescent="0.3">
      <c r="A5" t="s">
        <v>688</v>
      </c>
    </row>
    <row r="6" spans="1:2" x14ac:dyDescent="0.3">
      <c r="B6" t="s">
        <v>684</v>
      </c>
    </row>
    <row r="7" spans="1:2" x14ac:dyDescent="0.3">
      <c r="B7" t="s">
        <v>685</v>
      </c>
    </row>
    <row r="8" spans="1:2" x14ac:dyDescent="0.3">
      <c r="B8" t="s">
        <v>686</v>
      </c>
    </row>
    <row r="9" spans="1:2" x14ac:dyDescent="0.3">
      <c r="B9" t="s">
        <v>687</v>
      </c>
    </row>
    <row r="11" spans="1:2" x14ac:dyDescent="0.3">
      <c r="A11" t="s">
        <v>689</v>
      </c>
    </row>
    <row r="12" spans="1:2" x14ac:dyDescent="0.3">
      <c r="B12" t="s">
        <v>690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66587-F95A-4596-8726-3C975D334D55}">
  <dimension ref="A2:S24"/>
  <sheetViews>
    <sheetView workbookViewId="0">
      <selection activeCell="O25" sqref="O25"/>
    </sheetView>
  </sheetViews>
  <sheetFormatPr defaultRowHeight="14.4" x14ac:dyDescent="0.3"/>
  <cols>
    <col min="13" max="13" width="15.109375" customWidth="1"/>
  </cols>
  <sheetData>
    <row r="2" spans="1:2" x14ac:dyDescent="0.3">
      <c r="A2" t="s">
        <v>998</v>
      </c>
    </row>
    <row r="3" spans="1:2" x14ac:dyDescent="0.3">
      <c r="A3" t="s">
        <v>999</v>
      </c>
    </row>
    <row r="4" spans="1:2" x14ac:dyDescent="0.3">
      <c r="A4" t="s">
        <v>1000</v>
      </c>
    </row>
    <row r="5" spans="1:2" x14ac:dyDescent="0.3">
      <c r="A5" t="s">
        <v>1002</v>
      </c>
    </row>
    <row r="6" spans="1:2" s="241" customFormat="1" x14ac:dyDescent="0.3">
      <c r="A6" s="241" t="s">
        <v>1001</v>
      </c>
    </row>
    <row r="7" spans="1:2" x14ac:dyDescent="0.3">
      <c r="A7" t="s">
        <v>1018</v>
      </c>
    </row>
    <row r="8" spans="1:2" x14ac:dyDescent="0.3">
      <c r="B8" t="s">
        <v>1003</v>
      </c>
    </row>
    <row r="9" spans="1:2" x14ac:dyDescent="0.3">
      <c r="B9" t="s">
        <v>1004</v>
      </c>
    </row>
    <row r="10" spans="1:2" x14ac:dyDescent="0.3">
      <c r="B10" t="s">
        <v>1005</v>
      </c>
    </row>
    <row r="11" spans="1:2" x14ac:dyDescent="0.3">
      <c r="B11" t="s">
        <v>1006</v>
      </c>
    </row>
    <row r="12" spans="1:2" x14ac:dyDescent="0.3">
      <c r="A12" t="s">
        <v>1019</v>
      </c>
    </row>
    <row r="13" spans="1:2" s="241" customFormat="1" x14ac:dyDescent="0.3">
      <c r="A13" s="241" t="s">
        <v>1022</v>
      </c>
    </row>
    <row r="14" spans="1:2" x14ac:dyDescent="0.3">
      <c r="A14" t="s">
        <v>1020</v>
      </c>
    </row>
    <row r="15" spans="1:2" x14ac:dyDescent="0.3">
      <c r="A15" t="s">
        <v>1021</v>
      </c>
    </row>
    <row r="17" spans="12:19" x14ac:dyDescent="0.3">
      <c r="L17" t="s">
        <v>1024</v>
      </c>
    </row>
    <row r="18" spans="12:19" x14ac:dyDescent="0.3">
      <c r="N18" t="s">
        <v>1027</v>
      </c>
    </row>
    <row r="19" spans="12:19" x14ac:dyDescent="0.3">
      <c r="L19" t="s">
        <v>1023</v>
      </c>
      <c r="M19" t="s">
        <v>1025</v>
      </c>
      <c r="N19" t="s">
        <v>1026</v>
      </c>
      <c r="O19" t="s">
        <v>1029</v>
      </c>
    </row>
    <row r="20" spans="12:19" x14ac:dyDescent="0.3">
      <c r="L20">
        <v>300</v>
      </c>
      <c r="M20">
        <v>60</v>
      </c>
      <c r="N20" t="s">
        <v>1028</v>
      </c>
      <c r="O20">
        <v>60</v>
      </c>
      <c r="Q20">
        <f>60/62</f>
        <v>0.967741935483871</v>
      </c>
      <c r="S20">
        <f>60/54</f>
        <v>1.1111111111111112</v>
      </c>
    </row>
    <row r="21" spans="12:19" x14ac:dyDescent="0.3">
      <c r="L21">
        <v>100</v>
      </c>
      <c r="M21">
        <v>20</v>
      </c>
      <c r="N21" s="4" t="s">
        <v>1035</v>
      </c>
      <c r="O21">
        <v>44</v>
      </c>
      <c r="Q21">
        <f>44/60</f>
        <v>0.73333333333333328</v>
      </c>
      <c r="S21">
        <f>44/40</f>
        <v>1.1000000000000001</v>
      </c>
    </row>
    <row r="22" spans="12:19" x14ac:dyDescent="0.3">
      <c r="L22">
        <v>60</v>
      </c>
      <c r="M22">
        <v>12</v>
      </c>
      <c r="N22" s="4" t="s">
        <v>1036</v>
      </c>
      <c r="O22">
        <v>32</v>
      </c>
      <c r="Q22">
        <f>32/50</f>
        <v>0.64</v>
      </c>
      <c r="S22">
        <f>32/30</f>
        <v>1.0666666666666667</v>
      </c>
    </row>
    <row r="23" spans="12:19" x14ac:dyDescent="0.3">
      <c r="L23">
        <v>10</v>
      </c>
      <c r="M23">
        <v>2.5</v>
      </c>
      <c r="N23" s="3" t="s">
        <v>1032</v>
      </c>
      <c r="O23">
        <v>9</v>
      </c>
      <c r="Q23">
        <f>9/16</f>
        <v>0.5625</v>
      </c>
      <c r="S23">
        <f>9/8.5</f>
        <v>1.0588235294117647</v>
      </c>
    </row>
    <row r="24" spans="12:19" x14ac:dyDescent="0.3">
      <c r="L24">
        <v>1</v>
      </c>
      <c r="M24">
        <v>0.5</v>
      </c>
      <c r="N24" t="s">
        <v>1031</v>
      </c>
      <c r="O24">
        <v>1</v>
      </c>
      <c r="Q24">
        <f>1/3</f>
        <v>0.33333333333333331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23025-E844-497F-AAA6-0E92F638936B}">
  <dimension ref="A1:BB178"/>
  <sheetViews>
    <sheetView topLeftCell="AJ43" workbookViewId="0">
      <selection activeCell="AZ53" sqref="AZ53"/>
    </sheetView>
  </sheetViews>
  <sheetFormatPr defaultRowHeight="14.4" x14ac:dyDescent="0.3"/>
  <cols>
    <col min="1" max="1" width="46.33203125" customWidth="1"/>
    <col min="2" max="2" width="4" customWidth="1"/>
    <col min="3" max="3" width="25.109375" customWidth="1"/>
    <col min="4" max="4" width="30.33203125" customWidth="1"/>
    <col min="5" max="5" width="28.21875" customWidth="1"/>
    <col min="6" max="6" width="29" customWidth="1"/>
    <col min="7" max="7" width="17.109375" customWidth="1"/>
    <col min="8" max="8" width="2.33203125" customWidth="1"/>
    <col min="9" max="9" width="21.109375" customWidth="1"/>
    <col min="10" max="12" width="21.109375" style="166" customWidth="1"/>
    <col min="13" max="13" width="21.109375" style="217" customWidth="1"/>
    <col min="14" max="14" width="43.6640625" customWidth="1"/>
    <col min="15" max="18" width="23.88671875" customWidth="1"/>
  </cols>
  <sheetData>
    <row r="1" spans="1:18" x14ac:dyDescent="0.3">
      <c r="A1" s="86" t="s">
        <v>950</v>
      </c>
      <c r="D1" t="s">
        <v>866</v>
      </c>
      <c r="O1" s="166"/>
      <c r="P1" s="166"/>
      <c r="Q1" s="166"/>
      <c r="R1" s="166"/>
    </row>
    <row r="2" spans="1:18" x14ac:dyDescent="0.3">
      <c r="D2">
        <f>3.1416*D11^2</f>
        <v>1368480.96</v>
      </c>
      <c r="E2" s="178">
        <f t="shared" ref="E2:G2" si="0">3.1416*E11^2</f>
        <v>342120.24</v>
      </c>
      <c r="F2" s="178">
        <f t="shared" si="0"/>
        <v>85530.06</v>
      </c>
      <c r="G2" s="178">
        <f t="shared" si="0"/>
        <v>85530.06</v>
      </c>
      <c r="O2" s="166"/>
      <c r="P2" s="166"/>
      <c r="Q2" s="166"/>
      <c r="R2" s="166"/>
    </row>
    <row r="3" spans="1:18" x14ac:dyDescent="0.3">
      <c r="A3" s="86" t="s">
        <v>741</v>
      </c>
      <c r="D3" t="s">
        <v>867</v>
      </c>
      <c r="O3" s="166"/>
      <c r="P3" s="166"/>
      <c r="Q3" s="166"/>
      <c r="R3" s="166"/>
    </row>
    <row r="4" spans="1:18" x14ac:dyDescent="0.3">
      <c r="A4" s="86" t="s">
        <v>737</v>
      </c>
      <c r="D4">
        <f>5280^2</f>
        <v>27878400</v>
      </c>
      <c r="E4" s="178">
        <f t="shared" ref="E4:G4" si="1">5280^2</f>
        <v>27878400</v>
      </c>
      <c r="F4" s="178">
        <f t="shared" si="1"/>
        <v>27878400</v>
      </c>
      <c r="G4" s="178">
        <f t="shared" si="1"/>
        <v>27878400</v>
      </c>
      <c r="O4" s="166"/>
      <c r="P4" s="166"/>
      <c r="Q4" s="166"/>
      <c r="R4" s="166"/>
    </row>
    <row r="5" spans="1:18" x14ac:dyDescent="0.3">
      <c r="C5" t="s">
        <v>868</v>
      </c>
      <c r="D5">
        <f>D2/D4</f>
        <v>4.9087499999999999E-2</v>
      </c>
      <c r="E5" s="178">
        <f t="shared" ref="E5:G5" si="2">E2/E4</f>
        <v>1.2271875E-2</v>
      </c>
      <c r="F5" s="178">
        <f t="shared" si="2"/>
        <v>3.0679687499999999E-3</v>
      </c>
      <c r="G5" s="178">
        <f t="shared" si="2"/>
        <v>3.0679687499999999E-3</v>
      </c>
      <c r="O5" s="254" t="s">
        <v>779</v>
      </c>
      <c r="P5" s="254"/>
      <c r="Q5" s="254"/>
      <c r="R5" s="254"/>
    </row>
    <row r="6" spans="1:18" s="178" customFormat="1" x14ac:dyDescent="0.3">
      <c r="D6" s="178">
        <f>D5*D12</f>
        <v>53.996249999999996</v>
      </c>
      <c r="E6" s="178">
        <f t="shared" ref="E6:G6" si="3">E5*E12</f>
        <v>1.2149156249999999</v>
      </c>
      <c r="F6" s="178">
        <f t="shared" si="3"/>
        <v>2.761171875E-2</v>
      </c>
      <c r="G6" s="178">
        <f t="shared" si="3"/>
        <v>3.0679687499999999E-3</v>
      </c>
      <c r="M6" s="217"/>
      <c r="O6" s="177"/>
      <c r="P6" s="177"/>
      <c r="Q6" s="177"/>
      <c r="R6" s="177"/>
    </row>
    <row r="7" spans="1:18" s="167" customFormat="1" ht="57.6" x14ac:dyDescent="0.3">
      <c r="D7" s="107" t="s">
        <v>740</v>
      </c>
      <c r="E7" s="107" t="s">
        <v>738</v>
      </c>
      <c r="F7" s="107" t="s">
        <v>739</v>
      </c>
      <c r="G7" s="107" t="s">
        <v>531</v>
      </c>
      <c r="I7" s="176" t="s">
        <v>775</v>
      </c>
      <c r="J7" s="176" t="s">
        <v>812</v>
      </c>
      <c r="K7" s="176" t="s">
        <v>776</v>
      </c>
      <c r="L7" s="176" t="s">
        <v>777</v>
      </c>
      <c r="M7" s="225"/>
      <c r="O7" s="107" t="s">
        <v>740</v>
      </c>
      <c r="P7" s="107" t="s">
        <v>738</v>
      </c>
      <c r="Q7" s="107" t="s">
        <v>739</v>
      </c>
      <c r="R7" s="107" t="s">
        <v>531</v>
      </c>
    </row>
    <row r="8" spans="1:18" x14ac:dyDescent="0.3">
      <c r="A8" t="s">
        <v>743</v>
      </c>
      <c r="D8" t="s">
        <v>746</v>
      </c>
      <c r="E8" t="s">
        <v>750</v>
      </c>
      <c r="F8" t="s">
        <v>751</v>
      </c>
      <c r="G8" t="s">
        <v>767</v>
      </c>
      <c r="I8" s="2" t="str">
        <f>D8</f>
        <v>100+ (use 300)</v>
      </c>
      <c r="J8" s="2" t="str">
        <f t="shared" ref="J8:L12" si="4">E8</f>
        <v>25-99 (use 60)</v>
      </c>
      <c r="K8" s="2" t="str">
        <f t="shared" si="4"/>
        <v>30 or less (use 10)</v>
      </c>
      <c r="L8" s="2" t="str">
        <f t="shared" si="4"/>
        <v>&lt;1 (use 1)</v>
      </c>
      <c r="M8" s="2"/>
      <c r="O8" s="166" t="s">
        <v>746</v>
      </c>
      <c r="P8" s="166" t="s">
        <v>750</v>
      </c>
      <c r="Q8" s="166" t="s">
        <v>751</v>
      </c>
      <c r="R8" s="166" t="s">
        <v>767</v>
      </c>
    </row>
    <row r="9" spans="1:18" s="166" customFormat="1" x14ac:dyDescent="0.3">
      <c r="A9" s="166" t="s">
        <v>745</v>
      </c>
      <c r="D9" s="166" t="s">
        <v>753</v>
      </c>
      <c r="E9" s="166" t="s">
        <v>754</v>
      </c>
      <c r="F9" s="166" t="s">
        <v>752</v>
      </c>
      <c r="G9" s="166" t="s">
        <v>765</v>
      </c>
      <c r="I9" s="2" t="str">
        <f t="shared" ref="I9:I12" si="5">D9</f>
        <v>153-198' (api 581) or 153-310' CFER</v>
      </c>
      <c r="J9" s="2" t="str">
        <f t="shared" si="4"/>
        <v>73-89' (api 581) or 153-310' CFER</v>
      </c>
      <c r="K9" s="2" t="str">
        <f t="shared" si="4"/>
        <v>32-36' (api 581) or 153-310' CFER</v>
      </c>
      <c r="L9" s="2" t="str">
        <f t="shared" si="4"/>
        <v>&lt;10'</v>
      </c>
      <c r="M9" s="2"/>
      <c r="O9" s="166" t="s">
        <v>753</v>
      </c>
      <c r="P9" s="166" t="s">
        <v>754</v>
      </c>
      <c r="Q9" s="166" t="s">
        <v>752</v>
      </c>
      <c r="R9" s="166" t="s">
        <v>765</v>
      </c>
    </row>
    <row r="10" spans="1:18" s="166" customFormat="1" x14ac:dyDescent="0.3">
      <c r="A10" s="166" t="s">
        <v>756</v>
      </c>
      <c r="D10" s="166" t="s">
        <v>759</v>
      </c>
      <c r="E10" s="166" t="s">
        <v>757</v>
      </c>
      <c r="F10" s="166" t="s">
        <v>758</v>
      </c>
      <c r="G10" s="166" t="s">
        <v>766</v>
      </c>
      <c r="I10" s="2" t="str">
        <f t="shared" si="5"/>
        <v>2.5 (2.5*198=485)</v>
      </c>
      <c r="J10" s="2" t="str">
        <f t="shared" si="4"/>
        <v>2.2 (2.2*89=196)</v>
      </c>
      <c r="K10" s="2" t="str">
        <f t="shared" si="4"/>
        <v>2 (2*36 = 72)</v>
      </c>
      <c r="L10" s="2" t="str">
        <f t="shared" si="4"/>
        <v>2 (2*10=20)</v>
      </c>
      <c r="M10" s="2"/>
      <c r="O10" s="166" t="s">
        <v>759</v>
      </c>
      <c r="P10" s="166" t="s">
        <v>757</v>
      </c>
      <c r="Q10" s="166" t="s">
        <v>758</v>
      </c>
      <c r="R10" s="166" t="s">
        <v>766</v>
      </c>
    </row>
    <row r="11" spans="1:18" s="166" customFormat="1" x14ac:dyDescent="0.3">
      <c r="A11" s="166" t="s">
        <v>755</v>
      </c>
      <c r="D11" s="166">
        <v>660</v>
      </c>
      <c r="E11" s="166">
        <v>330</v>
      </c>
      <c r="F11" s="166">
        <v>165</v>
      </c>
      <c r="G11" s="166">
        <v>165</v>
      </c>
      <c r="I11" s="166">
        <f t="shared" si="5"/>
        <v>660</v>
      </c>
      <c r="J11" s="166">
        <f t="shared" si="4"/>
        <v>330</v>
      </c>
      <c r="K11" s="166">
        <f t="shared" si="4"/>
        <v>165</v>
      </c>
      <c r="L11" s="166">
        <f t="shared" si="4"/>
        <v>165</v>
      </c>
      <c r="M11" s="217"/>
      <c r="O11" s="166">
        <v>660</v>
      </c>
      <c r="P11" s="166">
        <v>330</v>
      </c>
      <c r="Q11" s="166">
        <v>165</v>
      </c>
      <c r="R11" s="166">
        <v>165</v>
      </c>
    </row>
    <row r="12" spans="1:18" x14ac:dyDescent="0.3">
      <c r="A12" t="s">
        <v>760</v>
      </c>
      <c r="D12">
        <v>1100</v>
      </c>
      <c r="E12">
        <v>99</v>
      </c>
      <c r="F12">
        <v>9</v>
      </c>
      <c r="G12">
        <v>1</v>
      </c>
      <c r="I12" s="166">
        <f t="shared" si="5"/>
        <v>1100</v>
      </c>
      <c r="J12" s="166">
        <f t="shared" si="4"/>
        <v>99</v>
      </c>
      <c r="K12" s="166">
        <f t="shared" si="4"/>
        <v>9</v>
      </c>
      <c r="L12" s="166">
        <f t="shared" si="4"/>
        <v>1</v>
      </c>
      <c r="O12" s="166">
        <v>1100</v>
      </c>
      <c r="P12" s="166">
        <v>99</v>
      </c>
      <c r="Q12" s="166">
        <v>9</v>
      </c>
      <c r="R12" s="166">
        <v>1</v>
      </c>
    </row>
    <row r="13" spans="1:18" x14ac:dyDescent="0.3">
      <c r="A13" s="166" t="s">
        <v>761</v>
      </c>
      <c r="D13">
        <v>54</v>
      </c>
      <c r="E13">
        <v>1</v>
      </c>
      <c r="F13">
        <v>0.03</v>
      </c>
      <c r="G13">
        <v>2E-3</v>
      </c>
      <c r="I13">
        <f>5+D13</f>
        <v>59</v>
      </c>
      <c r="J13" s="166">
        <f t="shared" ref="J13:L13" si="6">5+E13</f>
        <v>6</v>
      </c>
      <c r="K13" s="166">
        <f t="shared" si="6"/>
        <v>5.03</v>
      </c>
      <c r="L13" s="166">
        <f t="shared" si="6"/>
        <v>5.0019999999999998</v>
      </c>
      <c r="N13" t="s">
        <v>778</v>
      </c>
      <c r="O13" s="166">
        <v>54</v>
      </c>
      <c r="P13" s="166">
        <v>1</v>
      </c>
      <c r="Q13" s="166">
        <v>0.03</v>
      </c>
      <c r="R13" s="166">
        <v>2E-3</v>
      </c>
    </row>
    <row r="14" spans="1:18" s="166" customFormat="1" x14ac:dyDescent="0.3">
      <c r="A14" s="206"/>
      <c r="B14" s="204"/>
      <c r="C14" s="204" t="s">
        <v>763</v>
      </c>
      <c r="D14" s="183">
        <f>6.465*D13*1000000</f>
        <v>349110000</v>
      </c>
      <c r="E14" s="183">
        <f t="shared" ref="E14:G14" si="7">6.465*E13*1000000</f>
        <v>6465000</v>
      </c>
      <c r="F14" s="183">
        <f t="shared" si="7"/>
        <v>193949.99999999997</v>
      </c>
      <c r="G14" s="183">
        <f t="shared" si="7"/>
        <v>12930</v>
      </c>
      <c r="H14" s="101"/>
      <c r="I14" s="101">
        <f t="shared" ref="I14" si="8">6.465*I13*1000000</f>
        <v>381435000</v>
      </c>
      <c r="J14" s="101">
        <f t="shared" ref="J14" si="9">6.465*J13*1000000</f>
        <v>38790000</v>
      </c>
      <c r="K14" s="101">
        <f t="shared" ref="K14" si="10">6.465*K13*1000000</f>
        <v>32518950.000000004</v>
      </c>
      <c r="L14" s="101">
        <f t="shared" ref="L14" si="11">6.465*L13*1000000</f>
        <v>32337930</v>
      </c>
      <c r="M14" s="101"/>
      <c r="O14" s="101">
        <f>D14</f>
        <v>349110000</v>
      </c>
      <c r="P14" s="101">
        <f>E14</f>
        <v>6465000</v>
      </c>
      <c r="Q14" s="101">
        <f>F14</f>
        <v>193949.99999999997</v>
      </c>
      <c r="R14" s="101">
        <f>G14</f>
        <v>12930</v>
      </c>
    </row>
    <row r="15" spans="1:18" x14ac:dyDescent="0.3">
      <c r="A15" s="166"/>
      <c r="O15" s="172" t="s">
        <v>780</v>
      </c>
      <c r="P15" s="173"/>
      <c r="Q15" s="173"/>
      <c r="R15" s="173"/>
    </row>
    <row r="16" spans="1:18" s="166" customFormat="1" x14ac:dyDescent="0.3">
      <c r="A16" s="166" t="s">
        <v>744</v>
      </c>
      <c r="D16" s="166" t="s">
        <v>747</v>
      </c>
      <c r="E16" s="166" t="s">
        <v>749</v>
      </c>
      <c r="F16" s="166" t="s">
        <v>748</v>
      </c>
      <c r="G16" s="166">
        <v>9</v>
      </c>
      <c r="I16" s="2" t="s">
        <v>810</v>
      </c>
      <c r="J16" s="2" t="s">
        <v>809</v>
      </c>
      <c r="K16" s="2" t="s">
        <v>809</v>
      </c>
      <c r="L16" s="2" t="s">
        <v>809</v>
      </c>
      <c r="M16" s="2"/>
      <c r="O16" s="166" t="s">
        <v>747</v>
      </c>
      <c r="P16" s="166" t="s">
        <v>749</v>
      </c>
      <c r="Q16" s="166" t="s">
        <v>748</v>
      </c>
      <c r="R16" s="166">
        <v>9</v>
      </c>
    </row>
    <row r="17" spans="1:18" x14ac:dyDescent="0.3">
      <c r="A17" t="s">
        <v>82</v>
      </c>
      <c r="D17">
        <v>5</v>
      </c>
      <c r="E17">
        <v>4</v>
      </c>
      <c r="F17">
        <v>3</v>
      </c>
      <c r="G17">
        <v>2</v>
      </c>
      <c r="I17" s="2" t="s">
        <v>809</v>
      </c>
      <c r="J17" s="2" t="s">
        <v>809</v>
      </c>
      <c r="K17" s="2" t="s">
        <v>809</v>
      </c>
      <c r="L17" s="2" t="s">
        <v>809</v>
      </c>
      <c r="M17" s="2"/>
      <c r="O17" s="166">
        <v>5</v>
      </c>
      <c r="P17" s="166">
        <v>4</v>
      </c>
      <c r="Q17" s="166">
        <v>3</v>
      </c>
      <c r="R17" s="166">
        <v>2</v>
      </c>
    </row>
    <row r="18" spans="1:18" x14ac:dyDescent="0.3">
      <c r="A18" s="166" t="s">
        <v>742</v>
      </c>
      <c r="D18">
        <v>1100</v>
      </c>
      <c r="E18">
        <v>99</v>
      </c>
      <c r="F18">
        <v>9</v>
      </c>
      <c r="G18">
        <v>0.9</v>
      </c>
      <c r="I18" s="2" t="s">
        <v>809</v>
      </c>
      <c r="J18" s="2" t="s">
        <v>809</v>
      </c>
      <c r="K18" s="2" t="s">
        <v>809</v>
      </c>
      <c r="L18" s="2" t="s">
        <v>809</v>
      </c>
      <c r="M18" s="2"/>
      <c r="O18" s="166">
        <v>1100</v>
      </c>
      <c r="P18" s="166">
        <v>99</v>
      </c>
      <c r="Q18" s="166">
        <v>9</v>
      </c>
      <c r="R18" s="166">
        <v>0.9</v>
      </c>
    </row>
    <row r="19" spans="1:18" x14ac:dyDescent="0.3">
      <c r="A19" t="s">
        <v>92</v>
      </c>
      <c r="D19">
        <v>5449</v>
      </c>
      <c r="E19">
        <v>54.5</v>
      </c>
      <c r="F19">
        <v>5.4</v>
      </c>
      <c r="G19">
        <v>0.5</v>
      </c>
      <c r="I19" s="2" t="s">
        <v>809</v>
      </c>
      <c r="J19" s="2" t="s">
        <v>809</v>
      </c>
      <c r="K19" s="2" t="s">
        <v>809</v>
      </c>
      <c r="L19" s="2" t="s">
        <v>809</v>
      </c>
      <c r="M19" s="2"/>
      <c r="O19" s="166">
        <v>5449</v>
      </c>
      <c r="P19" s="166">
        <v>54.5</v>
      </c>
      <c r="Q19" s="166">
        <v>5.4</v>
      </c>
      <c r="R19" s="166">
        <v>0.5</v>
      </c>
    </row>
    <row r="20" spans="1:18" s="166" customFormat="1" x14ac:dyDescent="0.3">
      <c r="A20" s="206" t="s">
        <v>882</v>
      </c>
      <c r="B20" s="204"/>
      <c r="C20" s="204" t="s">
        <v>764</v>
      </c>
      <c r="D20" s="183">
        <v>1237680023.0312002</v>
      </c>
      <c r="E20" s="183">
        <v>9903257.2956800014</v>
      </c>
      <c r="F20" s="183">
        <v>735930.12931200024</v>
      </c>
      <c r="G20" s="183">
        <v>45427.785759999999</v>
      </c>
      <c r="I20" s="2" t="s">
        <v>809</v>
      </c>
      <c r="J20" s="2" t="s">
        <v>809</v>
      </c>
      <c r="K20" s="2" t="s">
        <v>809</v>
      </c>
      <c r="L20" s="2" t="s">
        <v>809</v>
      </c>
      <c r="M20" s="2"/>
      <c r="O20" s="101">
        <f>D20</f>
        <v>1237680023.0312002</v>
      </c>
      <c r="P20" s="101">
        <f>E20</f>
        <v>9903257.2956800014</v>
      </c>
      <c r="Q20" s="101">
        <f>F20</f>
        <v>735930.12931200024</v>
      </c>
      <c r="R20" s="101">
        <f>G20</f>
        <v>45427.785759999999</v>
      </c>
    </row>
    <row r="21" spans="1:18" x14ac:dyDescent="0.3">
      <c r="I21" t="s">
        <v>811</v>
      </c>
      <c r="O21" s="172" t="s">
        <v>780</v>
      </c>
      <c r="P21" s="173"/>
      <c r="Q21" s="173"/>
      <c r="R21" s="173"/>
    </row>
    <row r="22" spans="1:18" x14ac:dyDescent="0.3">
      <c r="A22" t="s">
        <v>500</v>
      </c>
      <c r="O22" s="166"/>
      <c r="P22" s="166"/>
      <c r="Q22" s="166"/>
      <c r="R22" s="166"/>
    </row>
    <row r="23" spans="1:18" x14ac:dyDescent="0.3">
      <c r="A23" s="166" t="s">
        <v>546</v>
      </c>
      <c r="D23" s="101">
        <v>5000000</v>
      </c>
      <c r="E23" s="101">
        <v>200000</v>
      </c>
      <c r="F23" s="101">
        <v>5000</v>
      </c>
      <c r="G23" s="101">
        <v>200</v>
      </c>
      <c r="I23" s="101">
        <f>0.13*D23</f>
        <v>650000</v>
      </c>
      <c r="J23" s="101">
        <f t="shared" ref="J23:L27" si="12">0.13*E23</f>
        <v>26000</v>
      </c>
      <c r="K23" s="101">
        <f t="shared" si="12"/>
        <v>650</v>
      </c>
      <c r="L23" s="101">
        <f t="shared" si="12"/>
        <v>26</v>
      </c>
      <c r="M23" s="101"/>
      <c r="O23" s="101">
        <f>D23</f>
        <v>5000000</v>
      </c>
      <c r="P23" s="101">
        <f>E23</f>
        <v>200000</v>
      </c>
      <c r="Q23" s="101">
        <f>F23</f>
        <v>5000</v>
      </c>
      <c r="R23" s="101">
        <f>G23</f>
        <v>200</v>
      </c>
    </row>
    <row r="24" spans="1:18" x14ac:dyDescent="0.3">
      <c r="A24" s="166" t="s">
        <v>555</v>
      </c>
      <c r="D24" s="101">
        <v>2000000</v>
      </c>
      <c r="E24" s="101">
        <v>100000</v>
      </c>
      <c r="F24" s="101">
        <v>2000</v>
      </c>
      <c r="G24" s="101">
        <v>500</v>
      </c>
      <c r="I24" s="101">
        <f t="shared" ref="I24:I27" si="13">0.13*D24</f>
        <v>260000</v>
      </c>
      <c r="J24" s="101">
        <f t="shared" si="12"/>
        <v>13000</v>
      </c>
      <c r="K24" s="101">
        <f t="shared" si="12"/>
        <v>260</v>
      </c>
      <c r="L24" s="101">
        <f t="shared" si="12"/>
        <v>65</v>
      </c>
      <c r="M24" s="101"/>
      <c r="O24" s="101">
        <f t="shared" ref="O24:O27" si="14">D24</f>
        <v>2000000</v>
      </c>
      <c r="P24" s="101">
        <f t="shared" ref="P24:R27" si="15">E24</f>
        <v>100000</v>
      </c>
      <c r="Q24" s="101">
        <f t="shared" si="15"/>
        <v>2000</v>
      </c>
      <c r="R24" s="101">
        <f t="shared" si="15"/>
        <v>500</v>
      </c>
    </row>
    <row r="25" spans="1:18" x14ac:dyDescent="0.3">
      <c r="A25" s="166" t="s">
        <v>547</v>
      </c>
      <c r="D25" s="101">
        <v>20000000</v>
      </c>
      <c r="E25" s="101">
        <v>1000000</v>
      </c>
      <c r="F25" s="101">
        <v>50000</v>
      </c>
      <c r="G25" s="101">
        <v>5000</v>
      </c>
      <c r="I25" s="101">
        <f t="shared" si="13"/>
        <v>2600000</v>
      </c>
      <c r="J25" s="101">
        <f t="shared" si="12"/>
        <v>130000</v>
      </c>
      <c r="K25" s="101">
        <f t="shared" si="12"/>
        <v>6500</v>
      </c>
      <c r="L25" s="101">
        <f t="shared" si="12"/>
        <v>650</v>
      </c>
      <c r="M25" s="101"/>
      <c r="O25" s="101">
        <f t="shared" si="14"/>
        <v>20000000</v>
      </c>
      <c r="P25" s="101">
        <f t="shared" si="15"/>
        <v>1000000</v>
      </c>
      <c r="Q25" s="101">
        <f t="shared" si="15"/>
        <v>50000</v>
      </c>
      <c r="R25" s="101">
        <f t="shared" si="15"/>
        <v>5000</v>
      </c>
    </row>
    <row r="26" spans="1:18" x14ac:dyDescent="0.3">
      <c r="A26" s="204" t="s">
        <v>548</v>
      </c>
      <c r="B26" s="206" t="s">
        <v>875</v>
      </c>
      <c r="C26" s="205"/>
      <c r="D26" s="183">
        <f>19.3*47*3000</f>
        <v>2721300</v>
      </c>
      <c r="E26" s="183">
        <f>19.3*600*47</f>
        <v>544260</v>
      </c>
      <c r="F26" s="183">
        <f>19.3*90*47</f>
        <v>81639</v>
      </c>
      <c r="G26" s="183">
        <f>19.3*9*47</f>
        <v>8163.9000000000005</v>
      </c>
      <c r="I26" s="101">
        <f>0.13*D26</f>
        <v>353769</v>
      </c>
      <c r="J26" s="101">
        <f t="shared" si="12"/>
        <v>70753.8</v>
      </c>
      <c r="K26" s="101">
        <f t="shared" si="12"/>
        <v>10613.07</v>
      </c>
      <c r="L26" s="101">
        <f t="shared" si="12"/>
        <v>1061.307</v>
      </c>
      <c r="M26" s="101"/>
      <c r="O26" s="101">
        <f t="shared" si="14"/>
        <v>2721300</v>
      </c>
      <c r="P26" s="101">
        <f t="shared" si="15"/>
        <v>544260</v>
      </c>
      <c r="Q26" s="101">
        <f t="shared" si="15"/>
        <v>81639</v>
      </c>
      <c r="R26" s="101">
        <f t="shared" si="15"/>
        <v>8163.9000000000005</v>
      </c>
    </row>
    <row r="27" spans="1:18" x14ac:dyDescent="0.3">
      <c r="A27" s="166" t="s">
        <v>550</v>
      </c>
      <c r="D27" s="101">
        <v>10000000</v>
      </c>
      <c r="E27" s="101">
        <v>100000</v>
      </c>
      <c r="F27" s="101">
        <v>10000</v>
      </c>
      <c r="G27" s="101">
        <v>1000</v>
      </c>
      <c r="I27" s="101">
        <f t="shared" si="13"/>
        <v>1300000</v>
      </c>
      <c r="J27" s="101">
        <f t="shared" si="12"/>
        <v>13000</v>
      </c>
      <c r="K27" s="101">
        <f t="shared" si="12"/>
        <v>1300</v>
      </c>
      <c r="L27" s="101">
        <f t="shared" si="12"/>
        <v>130</v>
      </c>
      <c r="M27" s="101"/>
      <c r="O27" s="101">
        <f t="shared" si="14"/>
        <v>10000000</v>
      </c>
      <c r="P27" s="101">
        <f t="shared" si="15"/>
        <v>100000</v>
      </c>
      <c r="Q27" s="101">
        <f t="shared" si="15"/>
        <v>10000</v>
      </c>
      <c r="R27" s="101">
        <f t="shared" si="15"/>
        <v>1000</v>
      </c>
    </row>
    <row r="28" spans="1:18" x14ac:dyDescent="0.3">
      <c r="C28" s="101"/>
      <c r="G28" s="101"/>
      <c r="O28" s="172" t="s">
        <v>780</v>
      </c>
      <c r="P28" s="173"/>
      <c r="Q28" s="173"/>
      <c r="R28" s="173"/>
    </row>
    <row r="29" spans="1:18" x14ac:dyDescent="0.3">
      <c r="A29" t="s">
        <v>762</v>
      </c>
      <c r="G29" s="101"/>
      <c r="O29" s="166"/>
      <c r="P29" s="166"/>
      <c r="Q29" s="166"/>
      <c r="R29" s="101"/>
    </row>
    <row r="30" spans="1:18" x14ac:dyDescent="0.3">
      <c r="A30" t="str">
        <f>'Svc-Reliability-Financ COFcalc'!A7</f>
        <v>emergency response and incident management cost</v>
      </c>
      <c r="D30" s="101">
        <v>5000000</v>
      </c>
      <c r="E30" s="101">
        <v>500000</v>
      </c>
      <c r="F30" s="101">
        <v>100000</v>
      </c>
      <c r="G30" s="101">
        <v>10000</v>
      </c>
      <c r="I30" s="101">
        <f>0.13*D30</f>
        <v>650000</v>
      </c>
      <c r="J30" s="101">
        <f t="shared" ref="J30:L45" si="16">0.13*E30</f>
        <v>65000</v>
      </c>
      <c r="K30" s="101">
        <f t="shared" si="16"/>
        <v>13000</v>
      </c>
      <c r="L30" s="101">
        <f t="shared" si="16"/>
        <v>1300</v>
      </c>
      <c r="M30" s="101"/>
      <c r="O30" s="101">
        <f>D30</f>
        <v>5000000</v>
      </c>
      <c r="P30" s="101">
        <f>E30</f>
        <v>500000</v>
      </c>
      <c r="Q30" s="101">
        <f>F30</f>
        <v>100000</v>
      </c>
      <c r="R30" s="101">
        <f>G30</f>
        <v>10000</v>
      </c>
    </row>
    <row r="31" spans="1:18" x14ac:dyDescent="0.3">
      <c r="A31" t="str">
        <f>'Svc-Reliability-Financ COFcalc'!A8</f>
        <v>product lost during leak</v>
      </c>
      <c r="D31" s="101">
        <f>3000000*2.4</f>
        <v>7200000</v>
      </c>
      <c r="E31" s="101">
        <f>600000*2.4</f>
        <v>1440000</v>
      </c>
      <c r="F31" s="101">
        <f>90000*2.4</f>
        <v>216000</v>
      </c>
      <c r="G31" s="101">
        <f>9000*2.4</f>
        <v>21600</v>
      </c>
      <c r="I31" s="101">
        <f t="shared" ref="I31:I45" si="17">0.13*D31</f>
        <v>936000</v>
      </c>
      <c r="J31" s="101">
        <f t="shared" si="16"/>
        <v>187200</v>
      </c>
      <c r="K31" s="101">
        <f t="shared" si="16"/>
        <v>28080</v>
      </c>
      <c r="L31" s="101">
        <f t="shared" si="16"/>
        <v>2808</v>
      </c>
      <c r="M31" s="101"/>
      <c r="O31" s="101">
        <f t="shared" ref="O31:O45" si="18">D31</f>
        <v>7200000</v>
      </c>
      <c r="P31" s="101">
        <f t="shared" ref="P31:P45" si="19">E31</f>
        <v>1440000</v>
      </c>
      <c r="Q31" s="101">
        <f t="shared" ref="Q31:Q45" si="20">F31</f>
        <v>216000</v>
      </c>
      <c r="R31" s="101">
        <f t="shared" ref="R31:R45" si="21">G31</f>
        <v>21600</v>
      </c>
    </row>
    <row r="32" spans="1:18" x14ac:dyDescent="0.3">
      <c r="A32" t="str">
        <f>'Svc-Reliability-Financ COFcalc'!A9</f>
        <v>degradation of product/service quality</v>
      </c>
      <c r="D32" s="101">
        <v>10000000</v>
      </c>
      <c r="E32" s="101">
        <v>1000000</v>
      </c>
      <c r="F32" s="101">
        <v>100000</v>
      </c>
      <c r="G32" s="101">
        <v>10000</v>
      </c>
      <c r="I32" s="101">
        <f t="shared" si="17"/>
        <v>1300000</v>
      </c>
      <c r="J32" s="101">
        <f t="shared" si="16"/>
        <v>130000</v>
      </c>
      <c r="K32" s="101">
        <f t="shared" si="16"/>
        <v>13000</v>
      </c>
      <c r="L32" s="101">
        <f t="shared" si="16"/>
        <v>1300</v>
      </c>
      <c r="M32" s="101"/>
      <c r="O32" s="101">
        <f t="shared" si="18"/>
        <v>10000000</v>
      </c>
      <c r="P32" s="101">
        <f t="shared" si="19"/>
        <v>1000000</v>
      </c>
      <c r="Q32" s="101">
        <f t="shared" si="20"/>
        <v>100000</v>
      </c>
      <c r="R32" s="101">
        <f t="shared" si="21"/>
        <v>10000</v>
      </c>
    </row>
    <row r="33" spans="1:52" x14ac:dyDescent="0.3">
      <c r="A33" t="str">
        <f>'Svc-Reliability-Financ COFcalc'!A10</f>
        <v>business interruption/service interruption cost, loss of market share/loss of customers</v>
      </c>
      <c r="D33" s="101">
        <v>10000000</v>
      </c>
      <c r="E33" s="101">
        <v>1000000</v>
      </c>
      <c r="F33" s="101">
        <v>100000</v>
      </c>
      <c r="G33" s="101">
        <v>10000</v>
      </c>
      <c r="I33" s="101">
        <f t="shared" si="17"/>
        <v>1300000</v>
      </c>
      <c r="J33" s="101">
        <f t="shared" si="16"/>
        <v>130000</v>
      </c>
      <c r="K33" s="101">
        <f t="shared" si="16"/>
        <v>13000</v>
      </c>
      <c r="L33" s="101">
        <f t="shared" si="16"/>
        <v>1300</v>
      </c>
      <c r="M33" s="101"/>
      <c r="O33" s="101">
        <f t="shared" si="18"/>
        <v>10000000</v>
      </c>
      <c r="P33" s="101">
        <f t="shared" si="19"/>
        <v>1000000</v>
      </c>
      <c r="Q33" s="101">
        <f t="shared" si="20"/>
        <v>100000</v>
      </c>
      <c r="R33" s="101">
        <f t="shared" si="21"/>
        <v>10000</v>
      </c>
    </row>
    <row r="34" spans="1:52" x14ac:dyDescent="0.3">
      <c r="A34" t="str">
        <f>'Svc-Reliability-Financ COFcalc'!A11</f>
        <v>ability to compensate for flow/service loss</v>
      </c>
      <c r="D34" s="101">
        <v>10000000</v>
      </c>
      <c r="E34" s="101">
        <v>1000000</v>
      </c>
      <c r="F34" s="101">
        <v>100000</v>
      </c>
      <c r="G34" s="101">
        <v>10000</v>
      </c>
      <c r="I34" s="101">
        <f t="shared" si="17"/>
        <v>1300000</v>
      </c>
      <c r="J34" s="101">
        <f t="shared" si="16"/>
        <v>130000</v>
      </c>
      <c r="K34" s="101">
        <f t="shared" si="16"/>
        <v>13000</v>
      </c>
      <c r="L34" s="101">
        <f t="shared" si="16"/>
        <v>1300</v>
      </c>
      <c r="M34" s="101"/>
      <c r="O34" s="101">
        <f t="shared" si="18"/>
        <v>10000000</v>
      </c>
      <c r="P34" s="101">
        <f t="shared" si="19"/>
        <v>1000000</v>
      </c>
      <c r="Q34" s="101">
        <f t="shared" si="20"/>
        <v>100000</v>
      </c>
      <c r="R34" s="101">
        <f t="shared" si="21"/>
        <v>10000</v>
      </c>
    </row>
    <row r="35" spans="1:52" x14ac:dyDescent="0.3">
      <c r="A35" t="str">
        <f>'Svc-Reliability-Financ COFcalc'!A12</f>
        <v>deployment costs for emergency response personnel</v>
      </c>
      <c r="D35" s="101">
        <v>5000000</v>
      </c>
      <c r="E35" s="101">
        <v>500000</v>
      </c>
      <c r="F35" s="101">
        <v>100000</v>
      </c>
      <c r="G35" s="101">
        <v>10000</v>
      </c>
      <c r="I35" s="101">
        <f t="shared" si="17"/>
        <v>650000</v>
      </c>
      <c r="J35" s="101">
        <f t="shared" si="16"/>
        <v>65000</v>
      </c>
      <c r="K35" s="101">
        <f t="shared" si="16"/>
        <v>13000</v>
      </c>
      <c r="L35" s="101">
        <f t="shared" si="16"/>
        <v>1300</v>
      </c>
      <c r="M35" s="101"/>
      <c r="O35" s="101">
        <f t="shared" si="18"/>
        <v>5000000</v>
      </c>
      <c r="P35" s="101">
        <f t="shared" si="19"/>
        <v>500000</v>
      </c>
      <c r="Q35" s="101">
        <f t="shared" si="20"/>
        <v>100000</v>
      </c>
      <c r="R35" s="101">
        <f t="shared" si="21"/>
        <v>10000</v>
      </c>
    </row>
    <row r="36" spans="1:52" x14ac:dyDescent="0.3">
      <c r="A36" t="str">
        <f>'Svc-Reliability-Financ COFcalc'!A13</f>
        <v xml:space="preserve">equipment repair and restoration </v>
      </c>
      <c r="D36" s="101">
        <v>20000000</v>
      </c>
      <c r="E36" s="101">
        <v>5000000</v>
      </c>
      <c r="F36" s="101">
        <v>2000000</v>
      </c>
      <c r="G36" s="101">
        <v>300000</v>
      </c>
      <c r="I36" s="101">
        <f t="shared" si="17"/>
        <v>2600000</v>
      </c>
      <c r="J36" s="101">
        <f t="shared" si="16"/>
        <v>650000</v>
      </c>
      <c r="K36" s="101">
        <f t="shared" si="16"/>
        <v>260000</v>
      </c>
      <c r="L36" s="101">
        <f t="shared" si="16"/>
        <v>39000</v>
      </c>
      <c r="M36" s="101"/>
      <c r="O36" s="101">
        <f t="shared" si="18"/>
        <v>20000000</v>
      </c>
      <c r="P36" s="101">
        <f t="shared" si="19"/>
        <v>5000000</v>
      </c>
      <c r="Q36" s="101">
        <f t="shared" si="20"/>
        <v>2000000</v>
      </c>
      <c r="R36" s="101">
        <f t="shared" si="21"/>
        <v>300000</v>
      </c>
    </row>
    <row r="37" spans="1:52" x14ac:dyDescent="0.3">
      <c r="A37" t="str">
        <f>'Svc-Reliability-Financ COFcalc'!A14</f>
        <v xml:space="preserve"> on-site and off-site property damage [incl. damage to adjacent eqpt and further business/service impacts] </v>
      </c>
      <c r="D37" s="101">
        <v>10000000</v>
      </c>
      <c r="E37" s="101">
        <v>1000000</v>
      </c>
      <c r="F37" s="101">
        <v>100000</v>
      </c>
      <c r="G37" s="101">
        <v>10000</v>
      </c>
      <c r="I37" s="101">
        <f t="shared" si="17"/>
        <v>1300000</v>
      </c>
      <c r="J37" s="101">
        <f t="shared" si="16"/>
        <v>130000</v>
      </c>
      <c r="K37" s="101">
        <f t="shared" si="16"/>
        <v>13000</v>
      </c>
      <c r="L37" s="101">
        <f t="shared" si="16"/>
        <v>1300</v>
      </c>
      <c r="M37" s="101"/>
      <c r="O37" s="101">
        <f t="shared" si="18"/>
        <v>10000000</v>
      </c>
      <c r="P37" s="101">
        <f t="shared" si="19"/>
        <v>1000000</v>
      </c>
      <c r="Q37" s="101">
        <f t="shared" si="20"/>
        <v>100000</v>
      </c>
      <c r="R37" s="101">
        <f t="shared" si="21"/>
        <v>10000</v>
      </c>
    </row>
    <row r="38" spans="1:52" x14ac:dyDescent="0.3">
      <c r="A38" t="str">
        <f>'Svc-Reliability-Financ COFcalc'!A15</f>
        <v>relocation/reimbursement</v>
      </c>
      <c r="D38" s="101">
        <v>10000000</v>
      </c>
      <c r="E38" s="101">
        <v>1000000</v>
      </c>
      <c r="F38" s="101">
        <v>10000</v>
      </c>
      <c r="G38" s="101">
        <v>5000</v>
      </c>
      <c r="I38" s="101">
        <f t="shared" si="17"/>
        <v>1300000</v>
      </c>
      <c r="J38" s="101">
        <f t="shared" si="16"/>
        <v>130000</v>
      </c>
      <c r="K38" s="101">
        <f t="shared" si="16"/>
        <v>1300</v>
      </c>
      <c r="L38" s="101">
        <f t="shared" si="16"/>
        <v>650</v>
      </c>
      <c r="M38" s="101"/>
      <c r="O38" s="101">
        <f t="shared" si="18"/>
        <v>10000000</v>
      </c>
      <c r="P38" s="101">
        <f t="shared" si="19"/>
        <v>1000000</v>
      </c>
      <c r="Q38" s="101">
        <f t="shared" si="20"/>
        <v>10000</v>
      </c>
      <c r="R38" s="101">
        <f t="shared" si="21"/>
        <v>5000</v>
      </c>
    </row>
    <row r="39" spans="1:52" x14ac:dyDescent="0.3">
      <c r="A39" t="str">
        <f>'Svc-Reliability-Financ COFcalc'!A16</f>
        <v>cost of cascading business risk [interruption of flow/feed to the next point curtails that activity as well]</v>
      </c>
      <c r="D39" s="101">
        <v>10000000</v>
      </c>
      <c r="E39" s="101">
        <v>1000000</v>
      </c>
      <c r="F39" s="101">
        <v>10000</v>
      </c>
      <c r="G39" s="101">
        <v>5000</v>
      </c>
      <c r="I39" s="101">
        <f t="shared" si="17"/>
        <v>1300000</v>
      </c>
      <c r="J39" s="101">
        <f t="shared" si="16"/>
        <v>130000</v>
      </c>
      <c r="K39" s="101">
        <f t="shared" si="16"/>
        <v>1300</v>
      </c>
      <c r="L39" s="101">
        <f t="shared" si="16"/>
        <v>650</v>
      </c>
      <c r="M39" s="101"/>
      <c r="O39" s="101">
        <f t="shared" si="18"/>
        <v>10000000</v>
      </c>
      <c r="P39" s="101">
        <f t="shared" si="19"/>
        <v>1000000</v>
      </c>
      <c r="Q39" s="101">
        <f t="shared" si="20"/>
        <v>10000</v>
      </c>
      <c r="R39" s="101">
        <f t="shared" si="21"/>
        <v>5000</v>
      </c>
    </row>
    <row r="40" spans="1:52" x14ac:dyDescent="0.3">
      <c r="A40" t="str">
        <f>'Svc-Reliability-Financ COFcalc'!A17</f>
        <v xml:space="preserve">loss of goodwill/public reputation </v>
      </c>
      <c r="D40" s="101">
        <v>10000000</v>
      </c>
      <c r="E40" s="101">
        <v>1000000</v>
      </c>
      <c r="F40" s="101">
        <v>10000</v>
      </c>
      <c r="G40" s="101">
        <v>5000</v>
      </c>
      <c r="I40" s="101">
        <f t="shared" si="17"/>
        <v>1300000</v>
      </c>
      <c r="J40" s="101">
        <f t="shared" si="16"/>
        <v>130000</v>
      </c>
      <c r="K40" s="101">
        <f t="shared" si="16"/>
        <v>1300</v>
      </c>
      <c r="L40" s="101">
        <f t="shared" si="16"/>
        <v>650</v>
      </c>
      <c r="M40" s="101"/>
      <c r="O40" s="101">
        <f t="shared" si="18"/>
        <v>10000000</v>
      </c>
      <c r="P40" s="101">
        <f t="shared" si="19"/>
        <v>1000000</v>
      </c>
      <c r="Q40" s="101">
        <f t="shared" si="20"/>
        <v>10000</v>
      </c>
      <c r="R40" s="101">
        <f t="shared" si="21"/>
        <v>5000</v>
      </c>
    </row>
    <row r="41" spans="1:52" x14ac:dyDescent="0.3">
      <c r="A41" t="str">
        <f>'Svc-Reliability-Financ COFcalc'!A18</f>
        <v>increased cost of insurance</v>
      </c>
      <c r="D41" s="101">
        <v>10000000</v>
      </c>
      <c r="E41" s="101">
        <v>1000000</v>
      </c>
      <c r="F41" s="101">
        <v>10000</v>
      </c>
      <c r="G41" s="101">
        <v>5000</v>
      </c>
      <c r="I41" s="101">
        <f t="shared" si="17"/>
        <v>1300000</v>
      </c>
      <c r="J41" s="101">
        <f t="shared" si="16"/>
        <v>130000</v>
      </c>
      <c r="K41" s="101">
        <f t="shared" si="16"/>
        <v>1300</v>
      </c>
      <c r="L41" s="101">
        <f t="shared" si="16"/>
        <v>650</v>
      </c>
      <c r="M41" s="101"/>
      <c r="O41" s="101">
        <f t="shared" si="18"/>
        <v>10000000</v>
      </c>
      <c r="P41" s="101">
        <f t="shared" si="19"/>
        <v>1000000</v>
      </c>
      <c r="Q41" s="101">
        <f t="shared" si="20"/>
        <v>10000</v>
      </c>
      <c r="R41" s="101">
        <f t="shared" si="21"/>
        <v>5000</v>
      </c>
    </row>
    <row r="42" spans="1:52" x14ac:dyDescent="0.3">
      <c r="A42" t="str">
        <f>'Svc-Reliability-Financ COFcalc'!A19</f>
        <v xml:space="preserve"> litigation costs</v>
      </c>
      <c r="D42" s="101">
        <v>100000000</v>
      </c>
      <c r="E42" s="101">
        <v>10000000</v>
      </c>
      <c r="F42" s="101">
        <v>500000</v>
      </c>
      <c r="G42" s="101">
        <v>100000</v>
      </c>
      <c r="I42" s="101">
        <f t="shared" si="17"/>
        <v>13000000</v>
      </c>
      <c r="J42" s="101">
        <f t="shared" si="16"/>
        <v>1300000</v>
      </c>
      <c r="K42" s="101">
        <f t="shared" si="16"/>
        <v>65000</v>
      </c>
      <c r="L42" s="101">
        <f t="shared" si="16"/>
        <v>13000</v>
      </c>
      <c r="M42" s="101"/>
      <c r="O42" s="101">
        <f t="shared" si="18"/>
        <v>100000000</v>
      </c>
      <c r="P42" s="101">
        <f t="shared" si="19"/>
        <v>10000000</v>
      </c>
      <c r="Q42" s="101">
        <f t="shared" si="20"/>
        <v>500000</v>
      </c>
      <c r="R42" s="101">
        <f t="shared" si="21"/>
        <v>100000</v>
      </c>
    </row>
    <row r="43" spans="1:52" x14ac:dyDescent="0.3">
      <c r="A43" t="str">
        <f>'Svc-Reliability-Financ COFcalc'!A20</f>
        <v xml:space="preserve">regulatory actions/fines/cost of new regs </v>
      </c>
      <c r="D43" s="101">
        <v>100000000</v>
      </c>
      <c r="E43" s="101">
        <v>10000000</v>
      </c>
      <c r="F43" s="101">
        <v>500000</v>
      </c>
      <c r="G43" s="101">
        <v>200000</v>
      </c>
      <c r="I43" s="101">
        <f t="shared" si="17"/>
        <v>13000000</v>
      </c>
      <c r="J43" s="101">
        <f t="shared" si="16"/>
        <v>1300000</v>
      </c>
      <c r="K43" s="101">
        <f t="shared" si="16"/>
        <v>65000</v>
      </c>
      <c r="L43" s="101">
        <f t="shared" si="16"/>
        <v>26000</v>
      </c>
      <c r="M43" s="101"/>
      <c r="O43" s="101">
        <f t="shared" si="18"/>
        <v>100000000</v>
      </c>
      <c r="P43" s="101">
        <f t="shared" si="19"/>
        <v>10000000</v>
      </c>
      <c r="Q43" s="101">
        <f t="shared" si="20"/>
        <v>500000</v>
      </c>
      <c r="R43" s="101">
        <f t="shared" si="21"/>
        <v>200000</v>
      </c>
    </row>
    <row r="44" spans="1:52" x14ac:dyDescent="0.3">
      <c r="A44" t="str">
        <f>'Svc-Reliability-Financ COFcalc'!A23</f>
        <v>Home air/local water source monitoring</v>
      </c>
      <c r="D44" s="101">
        <v>10000000</v>
      </c>
      <c r="E44" s="101">
        <v>500000</v>
      </c>
      <c r="F44" s="101">
        <v>20000</v>
      </c>
      <c r="G44" s="101">
        <v>5000</v>
      </c>
      <c r="I44" s="101">
        <f t="shared" si="17"/>
        <v>1300000</v>
      </c>
      <c r="J44" s="101">
        <f t="shared" si="16"/>
        <v>65000</v>
      </c>
      <c r="K44" s="101">
        <f t="shared" si="16"/>
        <v>2600</v>
      </c>
      <c r="L44" s="101">
        <f t="shared" si="16"/>
        <v>650</v>
      </c>
      <c r="M44" s="101"/>
      <c r="O44" s="101">
        <f t="shared" si="18"/>
        <v>10000000</v>
      </c>
      <c r="P44" s="101">
        <f t="shared" si="19"/>
        <v>500000</v>
      </c>
      <c r="Q44" s="101">
        <f t="shared" si="20"/>
        <v>20000</v>
      </c>
      <c r="R44" s="101">
        <f t="shared" si="21"/>
        <v>5000</v>
      </c>
    </row>
    <row r="45" spans="1:52" x14ac:dyDescent="0.3">
      <c r="A45" t="str">
        <f>'Svc-Reliability-Financ COFcalc'!A28</f>
        <v>Wildlife/endangered species impact</v>
      </c>
      <c r="D45" s="101">
        <v>1000000</v>
      </c>
      <c r="E45" s="101">
        <v>100000</v>
      </c>
      <c r="F45" s="101">
        <v>10000</v>
      </c>
      <c r="G45" s="101">
        <v>5000</v>
      </c>
      <c r="I45" s="101">
        <f t="shared" si="17"/>
        <v>130000</v>
      </c>
      <c r="J45" s="101">
        <f t="shared" si="16"/>
        <v>13000</v>
      </c>
      <c r="K45" s="101">
        <f t="shared" si="16"/>
        <v>1300</v>
      </c>
      <c r="L45" s="101">
        <f t="shared" si="16"/>
        <v>650</v>
      </c>
      <c r="M45" s="101"/>
      <c r="O45" s="101">
        <f t="shared" si="18"/>
        <v>1000000</v>
      </c>
      <c r="P45" s="101">
        <f t="shared" si="19"/>
        <v>100000</v>
      </c>
      <c r="Q45" s="101">
        <f t="shared" si="20"/>
        <v>10000</v>
      </c>
      <c r="R45" s="101">
        <f t="shared" si="21"/>
        <v>5000</v>
      </c>
      <c r="AV45" s="252" t="s">
        <v>1063</v>
      </c>
      <c r="AW45" s="252"/>
      <c r="AX45" s="252"/>
      <c r="AY45" s="252" t="s">
        <v>1064</v>
      </c>
    </row>
    <row r="46" spans="1:52" x14ac:dyDescent="0.3">
      <c r="G46" s="101"/>
      <c r="O46" s="172" t="s">
        <v>780</v>
      </c>
      <c r="P46" s="173"/>
      <c r="Q46" s="173"/>
      <c r="R46" s="173"/>
      <c r="AV46" t="s">
        <v>918</v>
      </c>
      <c r="AY46" t="s">
        <v>921</v>
      </c>
    </row>
    <row r="47" spans="1:52" x14ac:dyDescent="0.3">
      <c r="G47" s="101"/>
      <c r="O47" s="166"/>
      <c r="P47" s="166"/>
      <c r="Q47" s="166"/>
      <c r="R47" s="101"/>
      <c r="AV47">
        <f>24*365</f>
        <v>8760</v>
      </c>
      <c r="AW47" t="s">
        <v>919</v>
      </c>
      <c r="AY47">
        <v>8760</v>
      </c>
      <c r="AZ47" t="s">
        <v>919</v>
      </c>
    </row>
    <row r="48" spans="1:52" x14ac:dyDescent="0.3">
      <c r="C48" s="174" t="s">
        <v>799</v>
      </c>
      <c r="D48" s="175">
        <f>SUM(D14,D20,(SUM(D23:D45)))</f>
        <v>1954711323.0312002</v>
      </c>
      <c r="E48" s="175">
        <f t="shared" ref="E48:G48" si="22">SUM(E14,E20,(SUM(E23:E45)))</f>
        <v>54352517.295680001</v>
      </c>
      <c r="F48" s="175">
        <f t="shared" si="22"/>
        <v>4964519.1293120002</v>
      </c>
      <c r="G48" s="175">
        <f t="shared" si="22"/>
        <v>784821.68576000002</v>
      </c>
      <c r="I48" s="175">
        <f>SUM(I14, I23:I27, I30:I45)</f>
        <v>429264769</v>
      </c>
      <c r="J48" s="175">
        <f t="shared" ref="J48:L48" si="23">SUM(J14, J23:J27, J30:J45)</f>
        <v>43727953.799999997</v>
      </c>
      <c r="K48" s="175">
        <f t="shared" si="23"/>
        <v>33043453.070000004</v>
      </c>
      <c r="L48" s="175">
        <f t="shared" si="23"/>
        <v>32432370.307</v>
      </c>
      <c r="M48" s="175"/>
      <c r="O48" s="185">
        <f>SUM(O14,O20,SUM(O23:O45))</f>
        <v>1954711323.0312002</v>
      </c>
      <c r="P48" s="185">
        <f t="shared" ref="P48:R48" si="24">SUM(P14,P20,SUM(P23:P45))</f>
        <v>54352517.295680001</v>
      </c>
      <c r="Q48" s="185">
        <f t="shared" si="24"/>
        <v>4964519.1293120002</v>
      </c>
      <c r="R48" s="185">
        <f t="shared" si="24"/>
        <v>784821.68576000002</v>
      </c>
      <c r="AV48">
        <f>2.04*8760</f>
        <v>17870.400000000001</v>
      </c>
      <c r="AW48" t="s">
        <v>920</v>
      </c>
      <c r="AY48">
        <f>0.17*8760</f>
        <v>1489.2</v>
      </c>
      <c r="AZ48" t="s">
        <v>920</v>
      </c>
    </row>
    <row r="49" spans="1:54" x14ac:dyDescent="0.3">
      <c r="G49" s="101"/>
      <c r="O49" s="166"/>
      <c r="P49" s="166"/>
      <c r="Q49" s="166"/>
      <c r="R49" s="101"/>
      <c r="AV49">
        <f>AV48/1000000*19.3*47</f>
        <v>16.210239840000003</v>
      </c>
      <c r="AW49" t="s">
        <v>922</v>
      </c>
      <c r="AY49">
        <f>AY48/1000000*19.3*47</f>
        <v>1.3508533199999999</v>
      </c>
      <c r="AZ49" t="s">
        <v>922</v>
      </c>
    </row>
    <row r="50" spans="1:54" x14ac:dyDescent="0.3">
      <c r="C50" t="s">
        <v>768</v>
      </c>
      <c r="D50" s="101">
        <f>D14</f>
        <v>349110000</v>
      </c>
      <c r="E50" s="101">
        <f t="shared" ref="E50:G50" si="25">E14</f>
        <v>6465000</v>
      </c>
      <c r="F50" s="101">
        <f t="shared" si="25"/>
        <v>193949.99999999997</v>
      </c>
      <c r="G50" s="101">
        <f t="shared" si="25"/>
        <v>12930</v>
      </c>
      <c r="I50" s="101">
        <f>I14</f>
        <v>381435000</v>
      </c>
      <c r="J50" s="101">
        <f t="shared" ref="J50:L50" si="26">J14</f>
        <v>38790000</v>
      </c>
      <c r="K50" s="101">
        <f t="shared" si="26"/>
        <v>32518950.000000004</v>
      </c>
      <c r="L50" s="101">
        <f t="shared" si="26"/>
        <v>32337930</v>
      </c>
      <c r="M50" s="101"/>
      <c r="O50" s="101">
        <f t="shared" ref="O50:O53" si="27">D50</f>
        <v>349110000</v>
      </c>
      <c r="P50" s="101">
        <f t="shared" ref="P50:P53" si="28">E50</f>
        <v>6465000</v>
      </c>
      <c r="Q50" s="101">
        <f t="shared" ref="Q50:Q53" si="29">F50</f>
        <v>193949.99999999997</v>
      </c>
      <c r="R50" s="101">
        <f t="shared" ref="R50:R53" si="30">G50</f>
        <v>12930</v>
      </c>
    </row>
    <row r="51" spans="1:54" x14ac:dyDescent="0.3">
      <c r="C51" t="s">
        <v>769</v>
      </c>
      <c r="D51" s="101">
        <f>0.5*D26+0.5*D27</f>
        <v>6360650</v>
      </c>
      <c r="E51" s="101">
        <f t="shared" ref="E51:G51" si="31">0.5*E26+0.5*E27</f>
        <v>322130</v>
      </c>
      <c r="F51" s="101">
        <f t="shared" si="31"/>
        <v>45819.5</v>
      </c>
      <c r="G51" s="101">
        <f t="shared" si="31"/>
        <v>4581.9500000000007</v>
      </c>
      <c r="I51" s="101">
        <f>SUM(I23:I27)</f>
        <v>5163769</v>
      </c>
      <c r="J51" s="101">
        <f t="shared" ref="J51:L51" si="32">SUM(J23:J27)</f>
        <v>252753.8</v>
      </c>
      <c r="K51" s="101">
        <f t="shared" si="32"/>
        <v>19323.07</v>
      </c>
      <c r="L51" s="101">
        <f t="shared" si="32"/>
        <v>1932.307</v>
      </c>
      <c r="M51" s="101"/>
      <c r="O51" s="101">
        <f t="shared" si="27"/>
        <v>6360650</v>
      </c>
      <c r="P51" s="101">
        <f t="shared" si="28"/>
        <v>322130</v>
      </c>
      <c r="Q51" s="101">
        <f t="shared" si="29"/>
        <v>45819.5</v>
      </c>
      <c r="R51" s="101">
        <f t="shared" si="30"/>
        <v>4581.9500000000007</v>
      </c>
    </row>
    <row r="52" spans="1:54" x14ac:dyDescent="0.3">
      <c r="C52" s="8" t="s">
        <v>770</v>
      </c>
      <c r="D52" s="170">
        <f>0.5*SUM(D30:D45)</f>
        <v>164100000</v>
      </c>
      <c r="E52" s="170">
        <f t="shared" ref="E52:G52" si="33">0.5*SUM(E30:E45)</f>
        <v>18020000</v>
      </c>
      <c r="F52" s="170">
        <f t="shared" si="33"/>
        <v>1943000</v>
      </c>
      <c r="G52" s="170">
        <f t="shared" si="33"/>
        <v>355800</v>
      </c>
      <c r="I52" s="170">
        <f>SUM(I30:I45)</f>
        <v>42666000</v>
      </c>
      <c r="J52" s="170">
        <f t="shared" ref="J52:L52" si="34">SUM(J30:J45)</f>
        <v>4685200</v>
      </c>
      <c r="K52" s="170">
        <f t="shared" si="34"/>
        <v>505180</v>
      </c>
      <c r="L52" s="170">
        <f t="shared" si="34"/>
        <v>92508</v>
      </c>
      <c r="M52" s="208"/>
      <c r="O52" s="101">
        <f t="shared" si="27"/>
        <v>164100000</v>
      </c>
      <c r="P52" s="101">
        <f t="shared" si="28"/>
        <v>18020000</v>
      </c>
      <c r="Q52" s="101">
        <f t="shared" si="29"/>
        <v>1943000</v>
      </c>
      <c r="R52" s="101">
        <f t="shared" si="30"/>
        <v>355800</v>
      </c>
    </row>
    <row r="53" spans="1:54" s="166" customFormat="1" x14ac:dyDescent="0.3">
      <c r="C53" s="146" t="s">
        <v>773</v>
      </c>
      <c r="D53" s="171">
        <f>SUM(D50:D52)</f>
        <v>519570650</v>
      </c>
      <c r="E53" s="171">
        <f t="shared" ref="E53:G53" si="35">SUM(E50:E52)</f>
        <v>24807130</v>
      </c>
      <c r="F53" s="171">
        <f t="shared" si="35"/>
        <v>2182769.5</v>
      </c>
      <c r="G53" s="171">
        <f t="shared" si="35"/>
        <v>373311.95</v>
      </c>
      <c r="I53" s="171">
        <f>SUM(I50:I52)</f>
        <v>429264769</v>
      </c>
      <c r="J53" s="171">
        <f t="shared" ref="J53:L53" si="36">SUM(J50:J52)</f>
        <v>43727953.799999997</v>
      </c>
      <c r="K53" s="171">
        <f t="shared" si="36"/>
        <v>33043453.070000004</v>
      </c>
      <c r="L53" s="171">
        <f t="shared" si="36"/>
        <v>32432370.307</v>
      </c>
      <c r="M53" s="171"/>
      <c r="O53" s="101">
        <f t="shared" si="27"/>
        <v>519570650</v>
      </c>
      <c r="P53" s="101">
        <f t="shared" si="28"/>
        <v>24807130</v>
      </c>
      <c r="Q53" s="101">
        <f t="shared" si="29"/>
        <v>2182769.5</v>
      </c>
      <c r="R53" s="101">
        <f t="shared" si="30"/>
        <v>373311.95</v>
      </c>
      <c r="BB53" s="166" t="s">
        <v>1060</v>
      </c>
    </row>
    <row r="54" spans="1:54" s="166" customFormat="1" x14ac:dyDescent="0.3">
      <c r="D54" s="101"/>
      <c r="E54" s="101"/>
      <c r="F54" s="101"/>
      <c r="G54" s="101"/>
      <c r="M54" s="217"/>
      <c r="O54" s="101"/>
      <c r="P54" s="101"/>
      <c r="Q54" s="101"/>
      <c r="R54" s="101"/>
      <c r="AS54" s="166" t="s">
        <v>913</v>
      </c>
      <c r="BB54" s="166">
        <f>0.71/0.05</f>
        <v>14.2</v>
      </c>
    </row>
    <row r="55" spans="1:54" x14ac:dyDescent="0.3">
      <c r="O55" s="101"/>
      <c r="P55" s="166"/>
      <c r="Q55" s="166"/>
      <c r="R55" s="166"/>
      <c r="AT55">
        <v>9324</v>
      </c>
      <c r="AU55" t="s">
        <v>914</v>
      </c>
      <c r="BB55">
        <f>36.65/2.454</f>
        <v>14.934800325998369</v>
      </c>
    </row>
    <row r="56" spans="1:54" x14ac:dyDescent="0.3">
      <c r="C56" t="s">
        <v>771</v>
      </c>
      <c r="D56" s="101">
        <f>D20</f>
        <v>1237680023.0312002</v>
      </c>
      <c r="E56" s="101">
        <f t="shared" ref="E56:G56" si="37">E20</f>
        <v>9903257.2956800014</v>
      </c>
      <c r="F56" s="101">
        <f t="shared" si="37"/>
        <v>735930.12931200024</v>
      </c>
      <c r="G56" s="101">
        <f t="shared" si="37"/>
        <v>45427.785759999999</v>
      </c>
      <c r="O56" s="101">
        <f>D56</f>
        <v>1237680023.0312002</v>
      </c>
      <c r="P56" s="101">
        <f>E56</f>
        <v>9903257.2956800014</v>
      </c>
      <c r="Q56" s="101">
        <f>F56</f>
        <v>735930.12931200024</v>
      </c>
      <c r="R56" s="101">
        <f>G56</f>
        <v>45427.785759999999</v>
      </c>
      <c r="AT56">
        <v>276014</v>
      </c>
      <c r="AU56" t="s">
        <v>109</v>
      </c>
    </row>
    <row r="57" spans="1:54" x14ac:dyDescent="0.3">
      <c r="C57" t="s">
        <v>772</v>
      </c>
      <c r="D57" s="101">
        <f>D23+D24+D25+0.5*D26+0.5*D27</f>
        <v>33360650</v>
      </c>
      <c r="E57" s="101">
        <f t="shared" ref="E57:G57" si="38">E23+E24+E25+0.5*E26+0.5*E27</f>
        <v>1622130</v>
      </c>
      <c r="F57" s="101">
        <f t="shared" si="38"/>
        <v>102819.5</v>
      </c>
      <c r="G57" s="101">
        <f t="shared" si="38"/>
        <v>10281.950000000001</v>
      </c>
      <c r="O57" s="101">
        <f t="shared" ref="O57:O59" si="39">D57</f>
        <v>33360650</v>
      </c>
      <c r="P57" s="101">
        <f t="shared" ref="P57:R59" si="40">E57</f>
        <v>1622130</v>
      </c>
      <c r="Q57" s="101">
        <f t="shared" si="40"/>
        <v>102819.5</v>
      </c>
      <c r="R57" s="101">
        <f t="shared" si="40"/>
        <v>10281.950000000001</v>
      </c>
      <c r="AT57">
        <f>AT56/AT55</f>
        <v>29.602531102531103</v>
      </c>
      <c r="AU57" t="s">
        <v>915</v>
      </c>
    </row>
    <row r="58" spans="1:54" x14ac:dyDescent="0.3">
      <c r="C58" s="8" t="s">
        <v>813</v>
      </c>
      <c r="D58" s="170">
        <f>0.5*SUM(D30:D45)</f>
        <v>164100000</v>
      </c>
      <c r="E58" s="170">
        <f t="shared" ref="E58:G58" si="41">0.5*SUM(E30:E45)</f>
        <v>18020000</v>
      </c>
      <c r="F58" s="170">
        <f t="shared" si="41"/>
        <v>1943000</v>
      </c>
      <c r="G58" s="170">
        <f t="shared" si="41"/>
        <v>355800</v>
      </c>
      <c r="O58" s="101">
        <f t="shared" si="39"/>
        <v>164100000</v>
      </c>
      <c r="P58" s="101">
        <f t="shared" si="40"/>
        <v>18020000</v>
      </c>
      <c r="Q58" s="101">
        <f t="shared" si="40"/>
        <v>1943000</v>
      </c>
      <c r="R58" s="101">
        <f t="shared" si="40"/>
        <v>355800</v>
      </c>
      <c r="AT58">
        <v>10</v>
      </c>
      <c r="AU58" t="s">
        <v>916</v>
      </c>
    </row>
    <row r="59" spans="1:54" x14ac:dyDescent="0.3">
      <c r="C59" s="146" t="s">
        <v>774</v>
      </c>
      <c r="D59" s="171">
        <f>SUM(D56:D58)</f>
        <v>1435140673.0312002</v>
      </c>
      <c r="E59" s="171">
        <f t="shared" ref="E59:G59" si="42">SUM(E56:E58)</f>
        <v>29545387.295680001</v>
      </c>
      <c r="F59" s="171">
        <f t="shared" si="42"/>
        <v>2781749.6293120002</v>
      </c>
      <c r="G59" s="171">
        <f t="shared" si="42"/>
        <v>411509.73576000001</v>
      </c>
      <c r="M59" s="242"/>
      <c r="N59" s="242" t="s">
        <v>1007</v>
      </c>
      <c r="O59" s="101">
        <f t="shared" si="39"/>
        <v>1435140673.0312002</v>
      </c>
      <c r="P59" s="101">
        <f t="shared" si="40"/>
        <v>29545387.295680001</v>
      </c>
      <c r="Q59" s="101">
        <f t="shared" si="40"/>
        <v>2781749.6293120002</v>
      </c>
      <c r="R59" s="101">
        <f t="shared" si="40"/>
        <v>411509.73576000001</v>
      </c>
    </row>
    <row r="60" spans="1:54" x14ac:dyDescent="0.3">
      <c r="C60" s="87" t="s">
        <v>974</v>
      </c>
      <c r="D60" s="170">
        <f>D53+D59</f>
        <v>1954711323.0312002</v>
      </c>
      <c r="E60" s="170">
        <f t="shared" ref="E60:G60" si="43">E53+E59</f>
        <v>54352517.295680001</v>
      </c>
      <c r="F60" s="170">
        <f t="shared" si="43"/>
        <v>4964519.1293120002</v>
      </c>
      <c r="G60" s="170">
        <f t="shared" si="43"/>
        <v>784821.68576000002</v>
      </c>
      <c r="J60" s="166" t="s">
        <v>926</v>
      </c>
      <c r="M60" s="243" t="s">
        <v>717</v>
      </c>
      <c r="N60" s="244">
        <v>0.67</v>
      </c>
      <c r="O60" s="101">
        <f>O53+O59</f>
        <v>1954711323.0312002</v>
      </c>
      <c r="P60" s="101">
        <f t="shared" ref="P60:R60" si="44">P53+P59</f>
        <v>54352517.295680001</v>
      </c>
      <c r="Q60" s="101">
        <f t="shared" si="44"/>
        <v>4964519.1293120002</v>
      </c>
      <c r="R60" s="101">
        <f t="shared" si="44"/>
        <v>784821.68576000002</v>
      </c>
      <c r="AS60" t="s">
        <v>917</v>
      </c>
    </row>
    <row r="61" spans="1:54" x14ac:dyDescent="0.3">
      <c r="C61" s="86" t="s">
        <v>1008</v>
      </c>
      <c r="D61" s="233"/>
      <c r="E61" s="233"/>
      <c r="F61" s="233"/>
      <c r="G61" s="233"/>
      <c r="I61" t="s">
        <v>927</v>
      </c>
      <c r="M61" s="243" t="s">
        <v>43</v>
      </c>
      <c r="N61" s="244">
        <v>0.8</v>
      </c>
      <c r="O61" s="73" t="s">
        <v>1053</v>
      </c>
    </row>
    <row r="62" spans="1:54" x14ac:dyDescent="0.3">
      <c r="A62" s="86"/>
      <c r="C62" s="217" t="s">
        <v>973</v>
      </c>
      <c r="D62" s="184">
        <f>O111</f>
        <v>311444103.94578141</v>
      </c>
      <c r="E62" s="184">
        <f>P111</f>
        <v>9722632.6867067832</v>
      </c>
      <c r="F62" s="184">
        <f t="shared" ref="F62" si="45">Q111</f>
        <v>1018533.0937624264</v>
      </c>
      <c r="G62" s="184">
        <f t="shared" ref="G62" si="46">R111</f>
        <v>164394.282027646</v>
      </c>
      <c r="I62" t="s">
        <v>928</v>
      </c>
      <c r="J62" s="166">
        <v>0.05</v>
      </c>
      <c r="K62" s="166">
        <f>1/24*1/30*0.05</f>
        <v>6.9444444444444444E-5</v>
      </c>
      <c r="M62" s="243" t="s">
        <v>44</v>
      </c>
      <c r="N62" s="244">
        <v>0.90500000000000003</v>
      </c>
      <c r="O62" s="73"/>
    </row>
    <row r="63" spans="1:54" x14ac:dyDescent="0.3">
      <c r="C63" t="s">
        <v>796</v>
      </c>
      <c r="D63" s="101">
        <f>O112</f>
        <v>175068771.18765202</v>
      </c>
      <c r="E63" s="101">
        <f>P112</f>
        <v>5653984.0077593606</v>
      </c>
      <c r="F63" s="101">
        <f t="shared" ref="F63:G65" si="47">Q112</f>
        <v>603397.67966537597</v>
      </c>
      <c r="G63" s="101">
        <f t="shared" si="47"/>
        <v>98205.393331040003</v>
      </c>
      <c r="I63" t="s">
        <v>929</v>
      </c>
      <c r="J63" s="166">
        <v>0.18</v>
      </c>
      <c r="K63" s="166">
        <f>3.5/24*1/30*0.18</f>
        <v>8.7500000000000002E-4</v>
      </c>
      <c r="M63" s="243" t="s">
        <v>716</v>
      </c>
      <c r="N63" s="244">
        <v>0.98499999999999999</v>
      </c>
      <c r="O63" s="73"/>
    </row>
    <row r="64" spans="1:54" x14ac:dyDescent="0.3">
      <c r="C64" s="166" t="s">
        <v>797</v>
      </c>
      <c r="D64" s="101">
        <f t="shared" ref="D64:D65" si="48">O113</f>
        <v>77796174.442601413</v>
      </c>
      <c r="E64" s="101">
        <f>P113</f>
        <v>2573565.1241095038</v>
      </c>
      <c r="F64" s="101">
        <f t="shared" si="47"/>
        <v>278362.46749179077</v>
      </c>
      <c r="G64" s="101">
        <f t="shared" si="47"/>
        <v>45558.838379650988</v>
      </c>
      <c r="I64" t="s">
        <v>930</v>
      </c>
      <c r="J64" s="166">
        <v>0.26</v>
      </c>
      <c r="K64" s="166">
        <f>15/24*1/30*0.26</f>
        <v>5.4166666666666669E-3</v>
      </c>
      <c r="N64" s="224" t="s">
        <v>955</v>
      </c>
      <c r="O64" s="73"/>
    </row>
    <row r="65" spans="1:21" x14ac:dyDescent="0.3">
      <c r="C65" s="166" t="s">
        <v>798</v>
      </c>
      <c r="D65" s="184">
        <f t="shared" si="48"/>
        <v>17481361.811366003</v>
      </c>
      <c r="E65" s="184">
        <f>P114</f>
        <v>565902.63705645106</v>
      </c>
      <c r="F65" s="184">
        <f t="shared" si="47"/>
        <v>59839.737272370949</v>
      </c>
      <c r="G65" s="184">
        <f t="shared" si="47"/>
        <v>9823.3768276900664</v>
      </c>
      <c r="I65" t="s">
        <v>931</v>
      </c>
      <c r="J65" s="166">
        <v>0.41</v>
      </c>
      <c r="K65" s="166">
        <f>4*1/30*0.41</f>
        <v>5.4666666666666662E-2</v>
      </c>
      <c r="M65" s="224" t="s">
        <v>953</v>
      </c>
      <c r="N65" s="223" t="s">
        <v>954</v>
      </c>
      <c r="O65" s="73"/>
    </row>
    <row r="66" spans="1:21" x14ac:dyDescent="0.3">
      <c r="C66" s="86" t="s">
        <v>1009</v>
      </c>
      <c r="I66" t="s">
        <v>932</v>
      </c>
      <c r="J66" s="166">
        <v>0.1</v>
      </c>
      <c r="K66" s="166">
        <f>18.5*1/30*0.09</f>
        <v>5.5500000000000001E-2</v>
      </c>
      <c r="M66" s="224">
        <v>0.45</v>
      </c>
      <c r="N66" s="224">
        <v>0.55000000000000004</v>
      </c>
      <c r="O66" s="223" t="s">
        <v>951</v>
      </c>
      <c r="P66" s="223">
        <v>0.875</v>
      </c>
      <c r="Q66" s="223">
        <f>1-P66</f>
        <v>0.125</v>
      </c>
      <c r="R66" s="223">
        <f>1/Q66</f>
        <v>8</v>
      </c>
      <c r="S66" s="252" t="s">
        <v>1065</v>
      </c>
      <c r="T66" s="252" t="s">
        <v>1066</v>
      </c>
      <c r="U66" s="252" t="s">
        <v>1067</v>
      </c>
    </row>
    <row r="67" spans="1:21" x14ac:dyDescent="0.3">
      <c r="C67" s="217" t="s">
        <v>975</v>
      </c>
      <c r="D67" s="101">
        <f>O70+(0.5*O74)+(O84)+(0.5*O88)+(0.5*O98)</f>
        <v>189235525.3060157</v>
      </c>
      <c r="E67" s="101">
        <f t="shared" ref="E67:G70" si="49">P70+(0.5*P74)+(P84)+(0.5*P88)+(0.5*P98)</f>
        <v>5654650.9128533918</v>
      </c>
      <c r="F67" s="101">
        <f t="shared" si="49"/>
        <v>548640.51304996316</v>
      </c>
      <c r="G67" s="101">
        <f t="shared" si="49"/>
        <v>85356.694945698007</v>
      </c>
      <c r="K67" s="166">
        <f>45*1/30*0.01</f>
        <v>1.4999999999999999E-2</v>
      </c>
      <c r="M67" s="224">
        <v>0.28000000000000003</v>
      </c>
      <c r="N67" s="224">
        <v>0.72</v>
      </c>
      <c r="O67" s="223" t="s">
        <v>781</v>
      </c>
      <c r="P67" s="223">
        <v>0.94</v>
      </c>
      <c r="Q67" s="223">
        <f>1-P67</f>
        <v>6.0000000000000053E-2</v>
      </c>
      <c r="R67" s="223">
        <f>1/Q67</f>
        <v>16.666666666666654</v>
      </c>
      <c r="S67">
        <f>1-T67</f>
        <v>0.990116</v>
      </c>
      <c r="T67">
        <f>0.00133+0.000124+0.0077+0.00073</f>
        <v>9.8840000000000004E-3</v>
      </c>
      <c r="U67">
        <f>1/T67</f>
        <v>101.17361392148928</v>
      </c>
    </row>
    <row r="68" spans="1:21" x14ac:dyDescent="0.3">
      <c r="C68" t="s">
        <v>800</v>
      </c>
      <c r="D68" s="101">
        <f t="shared" ref="D68:D70" si="50">O71+(0.5*O75)+(O85)+(0.5*O89)+(0.5*O99)</f>
        <v>107031900.20882602</v>
      </c>
      <c r="E68" s="101">
        <f t="shared" si="49"/>
        <v>3305840.2856796803</v>
      </c>
      <c r="F68" s="101">
        <f t="shared" si="49"/>
        <v>325983.81671268801</v>
      </c>
      <c r="G68" s="101">
        <f t="shared" si="49"/>
        <v>51087.023149519999</v>
      </c>
      <c r="M68" s="224">
        <v>7.0000000000000007E-2</v>
      </c>
      <c r="N68" s="224">
        <v>0.93</v>
      </c>
      <c r="O68" s="223" t="s">
        <v>44</v>
      </c>
      <c r="P68" s="223">
        <v>0.9778</v>
      </c>
      <c r="Q68" s="223">
        <f>1-P68</f>
        <v>2.2199999999999998E-2</v>
      </c>
      <c r="R68" s="223">
        <f>1/Q68</f>
        <v>45.04504504504505</v>
      </c>
      <c r="S68" s="217">
        <f>1-T68</f>
        <v>0.96</v>
      </c>
      <c r="T68">
        <v>0.04</v>
      </c>
      <c r="U68" s="217">
        <f>1/T68</f>
        <v>25</v>
      </c>
    </row>
    <row r="69" spans="1:21" x14ac:dyDescent="0.3">
      <c r="A69" s="2" t="s">
        <v>982</v>
      </c>
      <c r="C69" s="166" t="s">
        <v>801</v>
      </c>
      <c r="D69" s="101">
        <f t="shared" si="50"/>
        <v>47963781.286433205</v>
      </c>
      <c r="E69" s="101">
        <f t="shared" si="49"/>
        <v>1515544.8131623515</v>
      </c>
      <c r="F69" s="101">
        <f t="shared" si="49"/>
        <v>150992.47292293038</v>
      </c>
      <c r="G69" s="101">
        <f t="shared" si="49"/>
        <v>23774.077022500995</v>
      </c>
      <c r="J69" s="166" t="s">
        <v>933</v>
      </c>
      <c r="K69" s="166">
        <f>SUM(K62:K67)</f>
        <v>0.13152777777777777</v>
      </c>
      <c r="M69" s="224">
        <v>0.01</v>
      </c>
      <c r="N69" s="224">
        <v>0.99</v>
      </c>
      <c r="O69" s="223" t="s">
        <v>94</v>
      </c>
      <c r="P69" s="223">
        <f>1-Q69</f>
        <v>0.990116</v>
      </c>
      <c r="Q69" s="223">
        <f>0.009884</f>
        <v>9.8840000000000004E-3</v>
      </c>
      <c r="R69" s="223">
        <f>1/Q69</f>
        <v>101.17361392148928</v>
      </c>
    </row>
    <row r="70" spans="1:21" x14ac:dyDescent="0.3">
      <c r="A70" s="101">
        <f>D65-D75</f>
        <v>10077136.187604053</v>
      </c>
      <c r="C70" s="166" t="s">
        <v>802</v>
      </c>
      <c r="D70" s="101">
        <f t="shared" si="50"/>
        <v>10077136.187604053</v>
      </c>
      <c r="E70" s="101">
        <f t="shared" si="49"/>
        <v>315928.21453248954</v>
      </c>
      <c r="F70" s="101">
        <f t="shared" si="49"/>
        <v>31811.290470065374</v>
      </c>
      <c r="G70" s="101">
        <f t="shared" si="49"/>
        <v>5105.9216082531038</v>
      </c>
      <c r="J70" s="166" t="s">
        <v>934</v>
      </c>
      <c r="N70" t="s">
        <v>952</v>
      </c>
      <c r="O70" s="101">
        <f>($O$14*$N$66*$P66+$O$14*(1-$P66))*(1-$N60)</f>
        <v>69843819.375</v>
      </c>
      <c r="P70" s="101">
        <f>($P$14*$N$67*P66+$P$14*(1-$P66))*(1-$N60)</f>
        <v>1610754.7499999998</v>
      </c>
      <c r="Q70" s="101">
        <f>($Q$14*$N$68*$P66+$Q$14*(1-$P66))*(1-$N60)</f>
        <v>60083.285624999982</v>
      </c>
      <c r="R70" s="101">
        <f>($R$14*$N$69*$P66+$R$14*(1-$P66))*(1-$N60)</f>
        <v>4229.564625</v>
      </c>
    </row>
    <row r="71" spans="1:21" x14ac:dyDescent="0.3">
      <c r="A71" s="101">
        <f>A70-D70</f>
        <v>0</v>
      </c>
      <c r="C71" s="86" t="s">
        <v>1010</v>
      </c>
      <c r="N71" t="s">
        <v>782</v>
      </c>
      <c r="O71" s="101">
        <f>($O$14*$N$66*$P67+$O$14*(1-$P67))*(1-$N61)</f>
        <v>40287294</v>
      </c>
      <c r="P71" s="101">
        <f>($P$14*$N$67*P67+$P$14*(1-$P67))*(1-$N61)</f>
        <v>952682.39999999979</v>
      </c>
      <c r="Q71" s="101">
        <f t="shared" ref="Q71:Q73" si="51">($Q$14*$N$68*$P67+$Q$14*(1-$P67))*(1-$N61)</f>
        <v>36237.617999999988</v>
      </c>
      <c r="R71" s="101">
        <f t="shared" ref="R71:R73" si="52">($R$14*$N$69*$P67+$R$14*(1-$P67))*(1-$N61)</f>
        <v>2561.6915999999997</v>
      </c>
    </row>
    <row r="72" spans="1:21" x14ac:dyDescent="0.3">
      <c r="C72" s="217" t="s">
        <v>976</v>
      </c>
      <c r="D72" s="101">
        <f>(0.5*O74)+O80+(0.5*O88)+(0.5*O98)</f>
        <v>122208578.63976571</v>
      </c>
      <c r="E72" s="101">
        <f t="shared" ref="E72:G75" si="53">0.5*P74+P80+(0.5*P88)+(0.5*P98)</f>
        <v>4067981.7738533919</v>
      </c>
      <c r="F72" s="101">
        <f t="shared" si="53"/>
        <v>469892.58071246318</v>
      </c>
      <c r="G72" s="101">
        <f t="shared" si="53"/>
        <v>79037.587081948004</v>
      </c>
      <c r="N72" s="166" t="s">
        <v>783</v>
      </c>
      <c r="O72" s="101">
        <f>($O$14*$N$66*$P68+$O$14*(1-$P68))*(1-$N62)</f>
        <v>18572320.3455</v>
      </c>
      <c r="P72" s="101">
        <f>($P$14*$N$67*P68+$P$14*(1-$P68))*(1-$N62)</f>
        <v>446023.71179999993</v>
      </c>
      <c r="Q72" s="101">
        <f t="shared" si="51"/>
        <v>17164.115338499993</v>
      </c>
      <c r="R72" s="101">
        <f t="shared" si="52"/>
        <v>1216.3391936999997</v>
      </c>
    </row>
    <row r="73" spans="1:21" x14ac:dyDescent="0.3">
      <c r="C73" t="s">
        <v>806</v>
      </c>
      <c r="D73" s="101">
        <f t="shared" ref="D73:D75" si="54">(0.5*O75)+O81+(0.5*O89)+(0.5*O99)</f>
        <v>68036870.978826016</v>
      </c>
      <c r="E73" s="101">
        <f t="shared" si="53"/>
        <v>2348143.7220796803</v>
      </c>
      <c r="F73" s="101">
        <f t="shared" si="53"/>
        <v>277413.86295268801</v>
      </c>
      <c r="G73" s="101">
        <f t="shared" si="53"/>
        <v>47118.370181520004</v>
      </c>
      <c r="N73" s="8" t="s">
        <v>784</v>
      </c>
      <c r="O73" s="170">
        <f>($O$14*$N$66*$P69+$O$14*(1-$P69))*(1-$N63)</f>
        <v>2903449.0718700029</v>
      </c>
      <c r="P73" s="170">
        <f>($P$14*$N$67*P69+$P$14*(1-$P69))*(1-$N63)</f>
        <v>70090.380252000046</v>
      </c>
      <c r="Q73" s="170">
        <f t="shared" si="51"/>
        <v>2707.6153518900019</v>
      </c>
      <c r="R73" s="170">
        <f t="shared" si="52"/>
        <v>192.02967001800019</v>
      </c>
    </row>
    <row r="74" spans="1:21" x14ac:dyDescent="0.3">
      <c r="C74" t="s">
        <v>807</v>
      </c>
      <c r="D74" s="101">
        <f t="shared" si="54"/>
        <v>29832393.156168208</v>
      </c>
      <c r="E74" s="101">
        <f t="shared" si="53"/>
        <v>1058020.3109471519</v>
      </c>
      <c r="F74" s="101">
        <f t="shared" si="53"/>
        <v>127369.99456886038</v>
      </c>
      <c r="G74" s="101">
        <f t="shared" si="53"/>
        <v>21784.761357149997</v>
      </c>
      <c r="N74" s="217" t="s">
        <v>956</v>
      </c>
      <c r="O74" s="101">
        <f>(0.5*$O$20*$N$66*(1-$N60)+0.5*$O$20*(1-$P66))</f>
        <v>189674463.52953142</v>
      </c>
      <c r="P74" s="101">
        <f>(0.5*$P$20*$N$67*(1-$N60)+0.5*$P$20*(1-$P66))</f>
        <v>1795460.547706784</v>
      </c>
      <c r="Q74" s="101">
        <f>(0.5*$Q$20*$N$68*(1-$N60)+0.5*$Q$20*(1-$P66))</f>
        <v>158924.11142492644</v>
      </c>
      <c r="R74" s="101">
        <f>(0.5*$R$20*$N$69*(1-$N60)+0.5*$R$20*(1-P66))</f>
        <v>10259.865413895999</v>
      </c>
    </row>
    <row r="75" spans="1:21" x14ac:dyDescent="0.3">
      <c r="C75" t="s">
        <v>808</v>
      </c>
      <c r="D75" s="101">
        <f t="shared" si="54"/>
        <v>7404225.6237619501</v>
      </c>
      <c r="E75" s="101">
        <f t="shared" si="53"/>
        <v>249974.42252396149</v>
      </c>
      <c r="F75" s="101">
        <f t="shared" si="53"/>
        <v>28028.446802305574</v>
      </c>
      <c r="G75" s="101">
        <f t="shared" si="53"/>
        <v>4717.4552194369635</v>
      </c>
      <c r="N75" s="217" t="s">
        <v>957</v>
      </c>
      <c r="O75" s="101">
        <f t="shared" ref="O75:O77" si="55">(0.5*$O$20*$N$66*(1-$N61)+0.5*$O$20*(1-$P67))</f>
        <v>105202801.95765203</v>
      </c>
      <c r="P75" s="101">
        <f t="shared" ref="P75:P77" si="56">(0.5*$P$20*$N$67*(1-$N61)+0.5*$P$20*(1-$P67))</f>
        <v>1010132.2441593602</v>
      </c>
      <c r="Q75" s="101">
        <f t="shared" ref="Q75:Q77" si="57">(0.5*$Q$20*$N$68*(1-$N61)+0.5*$Q$20*(1-$P67))</f>
        <v>90519.405905376043</v>
      </c>
      <c r="R75" s="101">
        <f t="shared" ref="R75:R77" si="58">(0.5*$R$20*$N$69*(1-$N61)+0.5*$R$20*(1-P67))</f>
        <v>5860.1843630399999</v>
      </c>
    </row>
    <row r="76" spans="1:21" x14ac:dyDescent="0.3">
      <c r="N76" s="217" t="s">
        <v>958</v>
      </c>
      <c r="O76" s="101">
        <f t="shared" si="55"/>
        <v>46072638.857336417</v>
      </c>
      <c r="P76" s="101">
        <f t="shared" si="56"/>
        <v>448617.55549430393</v>
      </c>
      <c r="Q76" s="101">
        <f t="shared" si="57"/>
        <v>40678.537897720802</v>
      </c>
      <c r="R76" s="101">
        <f t="shared" si="58"/>
        <v>2640.4900472999993</v>
      </c>
    </row>
    <row r="77" spans="1:21" x14ac:dyDescent="0.3">
      <c r="C77" s="86" t="s">
        <v>1011</v>
      </c>
      <c r="N77" s="217" t="s">
        <v>959</v>
      </c>
      <c r="O77" s="101">
        <f t="shared" si="55"/>
        <v>11222044.768823899</v>
      </c>
      <c r="P77" s="101">
        <f t="shared" si="56"/>
        <v>102419.48695192265</v>
      </c>
      <c r="Q77" s="101">
        <f t="shared" si="57"/>
        <v>8770.0793510111125</v>
      </c>
      <c r="R77" s="101">
        <f t="shared" si="58"/>
        <v>561.80542649392032</v>
      </c>
    </row>
    <row r="78" spans="1:21" x14ac:dyDescent="0.3">
      <c r="D78" s="101"/>
      <c r="E78" s="101"/>
      <c r="F78" s="101"/>
      <c r="G78" s="101"/>
      <c r="I78" s="86" t="s">
        <v>853</v>
      </c>
      <c r="O78" s="101"/>
      <c r="P78" s="101"/>
      <c r="Q78" s="101"/>
      <c r="R78" s="101"/>
    </row>
    <row r="79" spans="1:21" x14ac:dyDescent="0.3">
      <c r="C79" s="166" t="s">
        <v>982</v>
      </c>
      <c r="D79" s="184">
        <f>D75+D70</f>
        <v>17481361.811366003</v>
      </c>
      <c r="E79" s="184">
        <f t="shared" ref="E79:G79" si="59">E75+E70</f>
        <v>565902.63705645106</v>
      </c>
      <c r="F79" s="184">
        <f t="shared" si="59"/>
        <v>59839.737272370949</v>
      </c>
      <c r="G79" s="184">
        <f t="shared" si="59"/>
        <v>9823.3768276900664</v>
      </c>
      <c r="I79" s="175">
        <f>I48</f>
        <v>429264769</v>
      </c>
      <c r="J79" s="175">
        <f t="shared" ref="J79:L79" si="60">J48</f>
        <v>43727953.799999997</v>
      </c>
      <c r="K79" s="175">
        <f t="shared" si="60"/>
        <v>33043453.070000004</v>
      </c>
      <c r="L79" s="175">
        <f t="shared" si="60"/>
        <v>32432370.307</v>
      </c>
      <c r="M79" s="227"/>
      <c r="N79" s="8" t="s">
        <v>964</v>
      </c>
      <c r="O79" s="228" t="s">
        <v>960</v>
      </c>
      <c r="P79" s="228" t="s">
        <v>960</v>
      </c>
      <c r="Q79" s="228" t="s">
        <v>960</v>
      </c>
      <c r="R79" s="228" t="s">
        <v>960</v>
      </c>
    </row>
    <row r="80" spans="1:21" x14ac:dyDescent="0.3">
      <c r="C80" s="166"/>
      <c r="D80" s="101"/>
      <c r="E80" s="101"/>
      <c r="F80" s="101"/>
      <c r="G80" s="101"/>
      <c r="I80" s="86" t="s">
        <v>854</v>
      </c>
      <c r="J80" s="86"/>
      <c r="M80" s="217" t="s">
        <v>980</v>
      </c>
      <c r="N80" s="217" t="s">
        <v>961</v>
      </c>
      <c r="O80" s="101">
        <f>SUM($O$23:$O$25)*(1-$P66)</f>
        <v>3375000</v>
      </c>
      <c r="P80" s="101">
        <f>SUM($P$23:$P$25)*(1-$P66)</f>
        <v>162500</v>
      </c>
      <c r="Q80" s="101">
        <f>SUM($Q$23:$Q$25)*(1-$P66)</f>
        <v>7125</v>
      </c>
      <c r="R80" s="101">
        <f>SUM($R$23:$R$25)*(1-$P66)</f>
        <v>712.5</v>
      </c>
    </row>
    <row r="81" spans="4:21" x14ac:dyDescent="0.3">
      <c r="D81" s="184">
        <f>D67+D72</f>
        <v>311444103.94578141</v>
      </c>
      <c r="E81" s="184">
        <f t="shared" ref="E81:F81" si="61">E67+E72</f>
        <v>9722632.6867067832</v>
      </c>
      <c r="F81" s="184">
        <f t="shared" si="61"/>
        <v>1018533.0937624264</v>
      </c>
      <c r="G81" s="199" t="s">
        <v>846</v>
      </c>
      <c r="I81" s="8" t="s">
        <v>847</v>
      </c>
      <c r="J81" s="8" t="s">
        <v>848</v>
      </c>
      <c r="K81" s="8" t="s">
        <v>849</v>
      </c>
      <c r="L81" s="8" t="s">
        <v>850</v>
      </c>
      <c r="M81" s="207"/>
      <c r="N81" s="166" t="s">
        <v>977</v>
      </c>
      <c r="O81" s="101">
        <f t="shared" ref="O81:O83" si="62">SUM($O$23:$O$25)*(1-$P67)</f>
        <v>1620000.0000000014</v>
      </c>
      <c r="P81" s="101">
        <f>SUM($P$23:$P$25)*(1-$P67)</f>
        <v>78000.000000000073</v>
      </c>
      <c r="Q81" s="101">
        <f t="shared" ref="Q81:Q83" si="63">SUM($Q$23:$Q$25)*(1-$P67)</f>
        <v>3420.0000000000032</v>
      </c>
      <c r="R81" s="101">
        <f t="shared" ref="R81:R83" si="64">SUM($R$23:$R$25)*(1-$P67)</f>
        <v>342.00000000000028</v>
      </c>
    </row>
    <row r="82" spans="4:21" x14ac:dyDescent="0.3">
      <c r="G82" s="200" t="s">
        <v>781</v>
      </c>
      <c r="I82">
        <v>1E-4</v>
      </c>
      <c r="J82" s="166">
        <v>5.9999999999999993E-6</v>
      </c>
      <c r="K82" s="166">
        <v>1.6000000000000003E-5</v>
      </c>
      <c r="L82" s="166">
        <v>2.7999999999999999E-6</v>
      </c>
      <c r="N82" s="217" t="s">
        <v>978</v>
      </c>
      <c r="O82" s="101">
        <f t="shared" si="62"/>
        <v>599399.99999999988</v>
      </c>
      <c r="P82" s="101">
        <f>SUM($P$23:$P$25)*(1-$P68)</f>
        <v>28859.999999999996</v>
      </c>
      <c r="Q82" s="101">
        <f t="shared" si="63"/>
        <v>1265.3999999999999</v>
      </c>
      <c r="R82" s="101">
        <f t="shared" si="64"/>
        <v>126.53999999999999</v>
      </c>
    </row>
    <row r="83" spans="4:21" x14ac:dyDescent="0.3">
      <c r="G83" s="200" t="s">
        <v>44</v>
      </c>
      <c r="I83">
        <v>3.1250000000000001E-4</v>
      </c>
      <c r="J83" s="166">
        <v>1.8749999999999998E-5</v>
      </c>
      <c r="K83" s="166">
        <v>5.0000000000000002E-5</v>
      </c>
      <c r="L83" s="166">
        <v>8.7499999999999992E-6</v>
      </c>
      <c r="N83" s="8" t="s">
        <v>979</v>
      </c>
      <c r="O83" s="170">
        <f t="shared" si="62"/>
        <v>266868.00000000012</v>
      </c>
      <c r="P83" s="170">
        <f>SUM($P$23:$P$25)*(1-$P69)</f>
        <v>12849.200000000004</v>
      </c>
      <c r="Q83" s="170">
        <f t="shared" si="63"/>
        <v>563.38800000000026</v>
      </c>
      <c r="R83" s="170">
        <f t="shared" si="64"/>
        <v>56.33880000000002</v>
      </c>
    </row>
    <row r="84" spans="4:21" x14ac:dyDescent="0.3">
      <c r="G84" s="200" t="s">
        <v>94</v>
      </c>
      <c r="I84">
        <v>5.0000000000000001E-4</v>
      </c>
      <c r="J84" s="166">
        <v>2.9999999999999997E-5</v>
      </c>
      <c r="K84" s="166">
        <v>8.0000000000000007E-5</v>
      </c>
      <c r="L84" s="166">
        <v>1.4E-5</v>
      </c>
      <c r="M84" s="217" t="s">
        <v>981</v>
      </c>
      <c r="N84" s="166" t="s">
        <v>962</v>
      </c>
      <c r="O84" s="215">
        <f>(1-$N60)*(O$26*$N$66*$P66+O$26*(1-$P66))+O$26*0.005+19.3*47*0.1</f>
        <v>558127.29125000001</v>
      </c>
      <c r="P84" s="215">
        <f>(1-$N60)*(P$26*$N$67*$P66+P$26*(1-$P66))+P$26*0.005+19.3*47*0.1</f>
        <v>138414.38899999997</v>
      </c>
      <c r="Q84" s="215">
        <f>(1-$N60)*(Q$26*$N$68*$P66+Q$26*(1-$P66))+Q$26*0.005+19.3*47*0.1</f>
        <v>25789.646712499998</v>
      </c>
      <c r="R84" s="215">
        <f>(1-$N60)*(R$26*$N$69*$P66+R$26*(1-$P66))+R$26*0.005+19.3*47*0.1</f>
        <v>2802.04323875</v>
      </c>
      <c r="S84" t="s">
        <v>923</v>
      </c>
      <c r="U84">
        <f>19.3*47*1</f>
        <v>907.1</v>
      </c>
    </row>
    <row r="85" spans="4:21" x14ac:dyDescent="0.3">
      <c r="G85" s="145" t="s">
        <v>886</v>
      </c>
      <c r="I85">
        <v>1.25E-3</v>
      </c>
      <c r="J85" s="166">
        <v>7.4999999999999993E-5</v>
      </c>
      <c r="K85" s="166">
        <v>2.0000000000000001E-4</v>
      </c>
      <c r="L85" s="166">
        <v>3.4999999999999997E-5</v>
      </c>
      <c r="N85" s="166" t="s">
        <v>785</v>
      </c>
      <c r="O85" s="215">
        <f t="shared" ref="O85:O87" si="65">(1-$N61)*(O$26*$N$66*$P67+O$26*(1-$P67))+O$26*0.005+19.3*47*0.1</f>
        <v>327735.23000000004</v>
      </c>
      <c r="P85" s="215">
        <f t="shared" ref="P85:P87" si="66">(1-$N61)*(P$26*$N$67*$P67+P$26*(1-$P67))+P$26*0.005+19.3*47*0.1</f>
        <v>83014.1636</v>
      </c>
      <c r="Q85" s="215">
        <f t="shared" ref="Q85:Q87" si="67">(1-$N61)*(Q$26*$N$68*$P67+Q$26*(1-$P67))+Q$26*0.005+19.3*47*0.1</f>
        <v>15752.335759999998</v>
      </c>
      <c r="R85" s="215">
        <f t="shared" ref="R85:R87" si="68">(1-$N61)*(R$26*$N$69*$P67+R$26*(1-$P67))+R$26*0.005+19.3*47*0.1</f>
        <v>1748.961368</v>
      </c>
      <c r="S85" t="s">
        <v>924</v>
      </c>
    </row>
    <row r="86" spans="4:21" x14ac:dyDescent="0.3">
      <c r="I86" s="86" t="s">
        <v>851</v>
      </c>
      <c r="N86" s="166" t="s">
        <v>963</v>
      </c>
      <c r="O86" s="215">
        <f t="shared" si="65"/>
        <v>158467.78476499996</v>
      </c>
      <c r="P86" s="215">
        <f t="shared" si="66"/>
        <v>40360.79041519999</v>
      </c>
      <c r="Q86" s="215">
        <f t="shared" si="67"/>
        <v>7723.7630155699981</v>
      </c>
      <c r="R86" s="215">
        <f t="shared" si="68"/>
        <v>899.51647165099985</v>
      </c>
      <c r="S86" t="s">
        <v>925</v>
      </c>
    </row>
    <row r="87" spans="4:21" s="166" customFormat="1" x14ac:dyDescent="0.3">
      <c r="I87" s="8" t="s">
        <v>852</v>
      </c>
      <c r="J87" s="8"/>
      <c r="K87" s="8"/>
      <c r="L87" s="8"/>
      <c r="M87" s="207"/>
      <c r="N87" s="8" t="s">
        <v>786</v>
      </c>
      <c r="O87" s="229">
        <f t="shared" si="65"/>
        <v>36329.491972100026</v>
      </c>
      <c r="P87" s="229">
        <f t="shared" si="66"/>
        <v>8712.6117565280038</v>
      </c>
      <c r="Q87" s="229">
        <f t="shared" si="67"/>
        <v>1638.6163158698012</v>
      </c>
      <c r="R87" s="229">
        <f t="shared" si="68"/>
        <v>252.77551879814013</v>
      </c>
    </row>
    <row r="88" spans="4:21" x14ac:dyDescent="0.3">
      <c r="I88" s="101">
        <f>$I82*I$53</f>
        <v>42926.476900000001</v>
      </c>
      <c r="J88" s="101">
        <f t="shared" ref="J88:L88" si="69">$I82*J$53</f>
        <v>4372.7953799999996</v>
      </c>
      <c r="K88" s="101">
        <f t="shared" si="69"/>
        <v>3304.3453070000005</v>
      </c>
      <c r="L88" s="101">
        <f t="shared" si="69"/>
        <v>3243.2370307000001</v>
      </c>
      <c r="M88" s="101"/>
      <c r="N88" s="166" t="s">
        <v>787</v>
      </c>
      <c r="O88" s="101">
        <f>(0.5*O$27*$N$66*$P66*(1-$N60)+ 0.5*O$27*(1-$P66))</f>
        <v>1419062.5</v>
      </c>
      <c r="P88" s="101">
        <f>(0.5*P$27*$N$67*$P66*(1-$N60)+ 0.5*P$27*(1-$P66))</f>
        <v>16645</v>
      </c>
      <c r="Q88" s="101">
        <f>(0.5*Q$27*$N$68*$P66*(1-$N60)+ 0.5*Q$27*(1-$P66))</f>
        <v>1967.6874999999998</v>
      </c>
      <c r="R88" s="101">
        <f>(0.5*R$27*$N$69*$P66*(1-$N60)+ 0.5*R$27*(1-$P66))</f>
        <v>205.43124999999998</v>
      </c>
    </row>
    <row r="89" spans="4:21" x14ac:dyDescent="0.3">
      <c r="I89" s="101">
        <f t="shared" ref="I89:L91" si="70">$I83*I$53</f>
        <v>134145.24031250001</v>
      </c>
      <c r="J89" s="101">
        <f t="shared" si="70"/>
        <v>13664.9855625</v>
      </c>
      <c r="K89" s="101">
        <f t="shared" si="70"/>
        <v>10326.079084375002</v>
      </c>
      <c r="L89" s="101">
        <f t="shared" si="70"/>
        <v>10135.1157209375</v>
      </c>
      <c r="M89" s="101"/>
      <c r="N89" s="166" t="s">
        <v>788</v>
      </c>
      <c r="O89" s="101">
        <f t="shared" ref="O89:O91" si="71">(0.5*O$27*$N$66*$P67*(1-$N61)+ 0.5*O$27*(1-$P67))</f>
        <v>817000.00000000023</v>
      </c>
      <c r="P89" s="101">
        <f t="shared" ref="P89:P91" si="72">(0.5*P$27*$N$67*$P67*(1-$N61)+ 0.5*P$27*(1-$P67))</f>
        <v>9768</v>
      </c>
      <c r="Q89" s="101">
        <f t="shared" ref="Q89:Q91" si="73">(0.5*Q$27*$N$68*$P67*(1-$N61)+ 0.5*Q$27*(1-$P67))</f>
        <v>1174.2</v>
      </c>
      <c r="R89" s="101">
        <f t="shared" ref="R89:R91" si="74">(0.5*R$27*$N$69*$P67*(1-$N61)+ 0.5*R$27*(1-$P67))</f>
        <v>123.06</v>
      </c>
    </row>
    <row r="90" spans="4:21" s="166" customFormat="1" x14ac:dyDescent="0.3">
      <c r="I90" s="195">
        <f t="shared" si="70"/>
        <v>214632.38450000001</v>
      </c>
      <c r="J90" s="195">
        <f t="shared" si="70"/>
        <v>21863.976899999998</v>
      </c>
      <c r="K90" s="195">
        <f t="shared" si="70"/>
        <v>16521.726535000002</v>
      </c>
      <c r="L90" s="195">
        <f t="shared" si="70"/>
        <v>16216.185153500001</v>
      </c>
      <c r="M90" s="195"/>
      <c r="N90" s="166" t="s">
        <v>789</v>
      </c>
      <c r="O90" s="101">
        <f t="shared" si="71"/>
        <v>366450.24999999994</v>
      </c>
      <c r="P90" s="101">
        <f t="shared" si="72"/>
        <v>4454.0759999999991</v>
      </c>
      <c r="Q90" s="101">
        <f t="shared" si="73"/>
        <v>542.94314999999995</v>
      </c>
      <c r="R90" s="101">
        <f t="shared" si="74"/>
        <v>57.081044999999989</v>
      </c>
    </row>
    <row r="91" spans="4:21" s="166" customFormat="1" x14ac:dyDescent="0.3">
      <c r="I91" s="232">
        <f t="shared" si="70"/>
        <v>536580.96125000005</v>
      </c>
      <c r="J91" s="232">
        <f t="shared" si="70"/>
        <v>54659.94225</v>
      </c>
      <c r="K91" s="232">
        <f t="shared" si="70"/>
        <v>41304.316337500008</v>
      </c>
      <c r="L91" s="232">
        <f t="shared" si="70"/>
        <v>40540.462883749999</v>
      </c>
      <c r="M91" s="217"/>
      <c r="N91" s="8" t="s">
        <v>789</v>
      </c>
      <c r="O91" s="101">
        <f t="shared" si="71"/>
        <v>90262.285000000062</v>
      </c>
      <c r="P91" s="101">
        <f t="shared" si="72"/>
        <v>1028.8626400000007</v>
      </c>
      <c r="Q91" s="101">
        <f t="shared" si="73"/>
        <v>118.48059100000008</v>
      </c>
      <c r="R91" s="101">
        <f t="shared" si="74"/>
        <v>12.293611300000009</v>
      </c>
    </row>
    <row r="92" spans="4:21" s="166" customFormat="1" x14ac:dyDescent="0.3">
      <c r="M92" s="217"/>
      <c r="O92" s="101"/>
      <c r="P92" s="101"/>
      <c r="Q92" s="101"/>
      <c r="R92" s="101"/>
    </row>
    <row r="93" spans="4:21" s="166" customFormat="1" x14ac:dyDescent="0.3">
      <c r="I93" s="8" t="s">
        <v>941</v>
      </c>
      <c r="J93" s="8"/>
      <c r="K93" s="8"/>
      <c r="L93" s="8"/>
      <c r="M93" s="207"/>
      <c r="O93" s="101"/>
      <c r="P93" s="101"/>
      <c r="Q93" s="101"/>
      <c r="R93" s="101"/>
    </row>
    <row r="94" spans="4:21" s="166" customFormat="1" x14ac:dyDescent="0.3">
      <c r="I94" s="101">
        <f t="shared" ref="I94:L97" si="75">$K82*I$53</f>
        <v>6868.2363040000009</v>
      </c>
      <c r="J94" s="101">
        <f t="shared" si="75"/>
        <v>699.64726080000003</v>
      </c>
      <c r="K94" s="101">
        <f t="shared" si="75"/>
        <v>528.6952491200002</v>
      </c>
      <c r="L94" s="101">
        <f t="shared" si="75"/>
        <v>518.9179249120001</v>
      </c>
      <c r="M94" s="101"/>
      <c r="O94" s="101"/>
      <c r="P94" s="101"/>
      <c r="Q94" s="101"/>
      <c r="R94" s="101"/>
    </row>
    <row r="95" spans="4:21" s="166" customFormat="1" x14ac:dyDescent="0.3">
      <c r="I95" s="101">
        <f t="shared" si="75"/>
        <v>21463.238450000001</v>
      </c>
      <c r="J95" s="101">
        <f t="shared" si="75"/>
        <v>2186.3976899999998</v>
      </c>
      <c r="K95" s="101">
        <f t="shared" si="75"/>
        <v>1652.1726535000003</v>
      </c>
      <c r="L95" s="101">
        <f t="shared" si="75"/>
        <v>1621.6185153500001</v>
      </c>
      <c r="M95" s="101"/>
      <c r="O95" s="101"/>
      <c r="P95" s="101"/>
      <c r="Q95" s="101"/>
      <c r="R95" s="101"/>
    </row>
    <row r="96" spans="4:21" s="166" customFormat="1" x14ac:dyDescent="0.3">
      <c r="I96" s="101">
        <f t="shared" si="75"/>
        <v>34341.181520000006</v>
      </c>
      <c r="J96" s="101">
        <f t="shared" si="75"/>
        <v>3498.236304</v>
      </c>
      <c r="K96" s="101">
        <f t="shared" si="75"/>
        <v>2643.4762456000003</v>
      </c>
      <c r="L96" s="101">
        <f t="shared" si="75"/>
        <v>2594.5896245600002</v>
      </c>
      <c r="M96" s="101"/>
      <c r="O96" s="101"/>
      <c r="P96" s="101"/>
      <c r="Q96" s="101"/>
      <c r="R96" s="101"/>
    </row>
    <row r="97" spans="7:22" s="166" customFormat="1" x14ac:dyDescent="0.3">
      <c r="I97" s="101">
        <f t="shared" si="75"/>
        <v>85852.953800000003</v>
      </c>
      <c r="J97" s="101">
        <f t="shared" si="75"/>
        <v>8745.5907599999991</v>
      </c>
      <c r="K97" s="101">
        <f t="shared" si="75"/>
        <v>6608.690614000001</v>
      </c>
      <c r="L97" s="101">
        <f t="shared" si="75"/>
        <v>6486.4740614000002</v>
      </c>
      <c r="M97" s="217"/>
      <c r="N97" s="217" t="s">
        <v>967</v>
      </c>
      <c r="O97" s="101"/>
      <c r="P97" s="101"/>
      <c r="Q97" s="101"/>
      <c r="R97" s="101"/>
    </row>
    <row r="98" spans="7:22" s="166" customFormat="1" x14ac:dyDescent="0.3">
      <c r="G98" s="166" t="s">
        <v>942</v>
      </c>
      <c r="I98" s="184">
        <f>AVERAGE(I89, I90, I95, I96)</f>
        <v>101145.511195625</v>
      </c>
      <c r="J98" s="184">
        <f t="shared" ref="J98:L98" si="76">AVERAGE(J89, J90, J95, J96)</f>
        <v>10303.399114124999</v>
      </c>
      <c r="K98" s="184">
        <f t="shared" si="76"/>
        <v>7785.8636296187506</v>
      </c>
      <c r="L98" s="184">
        <f t="shared" si="76"/>
        <v>7641.8772535868757</v>
      </c>
      <c r="M98" s="184"/>
      <c r="N98" s="230" t="s">
        <v>803</v>
      </c>
      <c r="O98" s="231">
        <f>(0.5*SUM(O$30:O$45)*$N$66*$P66*(1-$N60)+0.5*SUM(O$30:O$45)*(1-$P66))</f>
        <v>46573631.25</v>
      </c>
      <c r="P98" s="231">
        <f>(0.5*SUM(P$30:P$45)*$N$67*$P66*(1-$N60)+0.5*SUM(P$30:P$45)*(1-$P66))</f>
        <v>5998858</v>
      </c>
      <c r="Q98" s="231">
        <f>(0.5*SUM(Q$30:Q$45)*$N$68*$P66*(1-$N60)+0.5*SUM(Q$30:Q$45)*(1-$P66))</f>
        <v>764643.36249999993</v>
      </c>
      <c r="R98" s="231">
        <f>(0.5*SUM(R$30:R$45)*$N$69*$P66*(1-$N60)+0.5*SUM(R$30:R$45)*(1-$P66))</f>
        <v>146184.8775</v>
      </c>
    </row>
    <row r="99" spans="7:22" s="166" customFormat="1" x14ac:dyDescent="0.3">
      <c r="M99" s="217"/>
      <c r="N99" s="230" t="s">
        <v>803</v>
      </c>
      <c r="O99" s="231">
        <f t="shared" ref="O99:O101" si="77">(0.5*SUM(O$30:O$45)*$N$66*$P67*(1-$N61)+0.5*SUM(O$30:O$45)*(1-$P67))</f>
        <v>26813940.000000007</v>
      </c>
      <c r="P99" s="231">
        <f t="shared" ref="P99:P101" si="78">(0.5*SUM(P$30:P$45)*$N$67*$P67*(1-$N61)+0.5*SUM(P$30:P$45)*(1-$P67))</f>
        <v>3520387.2</v>
      </c>
      <c r="Q99" s="231">
        <f t="shared" ref="Q99:Q101" si="79">(0.5*SUM(Q$30:Q$45)*$N$68*$P67*(1-$N61)+0.5*SUM(Q$30:Q$45)*(1-$P67))</f>
        <v>456294.12</v>
      </c>
      <c r="R99" s="231">
        <f t="shared" ref="R99:R101" si="80">(0.5*SUM(R$30:R$45)*$N$69*$P67*(1-$N61)+0.5*SUM(R$30:R$45)*(1-$P67))</f>
        <v>87569.495999999999</v>
      </c>
    </row>
    <row r="100" spans="7:22" s="166" customFormat="1" x14ac:dyDescent="0.3">
      <c r="I100" s="86" t="s">
        <v>860</v>
      </c>
      <c r="M100" s="217"/>
      <c r="N100" s="230" t="s">
        <v>804</v>
      </c>
      <c r="O100" s="231">
        <f t="shared" si="77"/>
        <v>12026897.204999996</v>
      </c>
      <c r="P100" s="231">
        <f t="shared" si="78"/>
        <v>1605248.9903999998</v>
      </c>
      <c r="Q100" s="231">
        <f t="shared" si="79"/>
        <v>210987.70808999994</v>
      </c>
      <c r="R100" s="231">
        <f t="shared" si="80"/>
        <v>40618.871621999991</v>
      </c>
    </row>
    <row r="101" spans="7:22" s="166" customFormat="1" x14ac:dyDescent="0.3">
      <c r="G101" s="199" t="s">
        <v>846</v>
      </c>
      <c r="I101" s="202" t="s">
        <v>847</v>
      </c>
      <c r="J101" s="203" t="s">
        <v>848</v>
      </c>
      <c r="K101" s="203" t="s">
        <v>849</v>
      </c>
      <c r="L101" s="203" t="s">
        <v>850</v>
      </c>
      <c r="M101" s="226"/>
      <c r="N101" s="230" t="s">
        <v>805</v>
      </c>
      <c r="O101" s="231">
        <f t="shared" si="77"/>
        <v>2962408.1937000016</v>
      </c>
      <c r="P101" s="231">
        <f t="shared" si="78"/>
        <v>370802.0954560003</v>
      </c>
      <c r="Q101" s="231">
        <f t="shared" si="79"/>
        <v>46041.557662600033</v>
      </c>
      <c r="R101" s="231">
        <f t="shared" si="80"/>
        <v>8748.1338010800064</v>
      </c>
    </row>
    <row r="102" spans="7:22" s="166" customFormat="1" x14ac:dyDescent="0.3">
      <c r="G102" s="200" t="s">
        <v>781</v>
      </c>
      <c r="I102" s="201">
        <v>1.8333333333333334E-4</v>
      </c>
      <c r="J102" s="178">
        <v>1.1E-5</v>
      </c>
      <c r="K102" s="201">
        <v>2.9333333333333336E-5</v>
      </c>
      <c r="L102" s="201">
        <v>5.133333333333333E-6</v>
      </c>
      <c r="M102" s="201"/>
      <c r="O102" s="101"/>
      <c r="P102" s="101"/>
      <c r="Q102" s="101"/>
      <c r="R102" s="101"/>
    </row>
    <row r="103" spans="7:22" s="166" customFormat="1" x14ac:dyDescent="0.3">
      <c r="G103" s="200" t="s">
        <v>44</v>
      </c>
      <c r="I103" s="201">
        <v>5.6250000000000007E-4</v>
      </c>
      <c r="J103" s="178">
        <v>3.375E-5</v>
      </c>
      <c r="K103" s="178">
        <v>9.0000000000000006E-5</v>
      </c>
      <c r="L103" s="178">
        <v>1.575E-5</v>
      </c>
      <c r="M103" s="217"/>
      <c r="O103" s="101"/>
      <c r="P103" s="101"/>
      <c r="Q103" s="101"/>
      <c r="R103" s="101"/>
      <c r="V103" s="166">
        <f>0.125*1000*1.015/8760</f>
        <v>1.4483447488584473E-2</v>
      </c>
    </row>
    <row r="104" spans="7:22" s="166" customFormat="1" x14ac:dyDescent="0.3">
      <c r="G104" s="200" t="s">
        <v>94</v>
      </c>
      <c r="I104" s="201">
        <v>1E-3</v>
      </c>
      <c r="J104" s="178">
        <v>5.9999999999999995E-5</v>
      </c>
      <c r="K104" s="178">
        <v>1.6000000000000001E-4</v>
      </c>
      <c r="L104" s="178">
        <v>2.8E-5</v>
      </c>
      <c r="M104" s="217"/>
      <c r="O104" s="101"/>
      <c r="P104" s="101"/>
      <c r="Q104" s="101"/>
      <c r="R104" s="101"/>
      <c r="V104" s="166">
        <f>0.918*1000*1.015/8760</f>
        <v>0.10636643835616437</v>
      </c>
    </row>
    <row r="105" spans="7:22" s="166" customFormat="1" x14ac:dyDescent="0.3">
      <c r="G105" s="145" t="s">
        <v>886</v>
      </c>
      <c r="I105" s="166">
        <v>1.25E-3</v>
      </c>
      <c r="J105" s="166">
        <v>7.4999999999999993E-5</v>
      </c>
      <c r="K105" s="166">
        <v>2.0000000000000001E-4</v>
      </c>
      <c r="L105" s="166">
        <v>3.4999999999999997E-5</v>
      </c>
      <c r="M105" s="217"/>
      <c r="O105" s="101"/>
      <c r="P105" s="101"/>
      <c r="Q105" s="101"/>
      <c r="R105" s="101"/>
    </row>
    <row r="106" spans="7:22" x14ac:dyDescent="0.3">
      <c r="I106" s="86" t="s">
        <v>859</v>
      </c>
      <c r="J106" s="178"/>
      <c r="K106" s="178"/>
      <c r="L106" s="178"/>
      <c r="O106" s="101"/>
      <c r="P106" s="101"/>
      <c r="Q106" s="101"/>
      <c r="R106" s="101"/>
    </row>
    <row r="107" spans="7:22" x14ac:dyDescent="0.3">
      <c r="I107" s="8" t="s">
        <v>852</v>
      </c>
      <c r="J107" s="8"/>
      <c r="K107" s="8"/>
      <c r="L107" s="8"/>
      <c r="M107" s="207"/>
      <c r="N107" s="166"/>
      <c r="O107" s="101"/>
      <c r="P107" s="101"/>
      <c r="Q107" s="101"/>
      <c r="R107" s="101"/>
    </row>
    <row r="108" spans="7:22" x14ac:dyDescent="0.3">
      <c r="I108" s="101">
        <f>$I102*I$53</f>
        <v>78698.54098333334</v>
      </c>
      <c r="J108" s="101">
        <f t="shared" ref="J108:L108" si="81">$I102*J$53</f>
        <v>8016.7915299999995</v>
      </c>
      <c r="K108" s="101">
        <f t="shared" si="81"/>
        <v>6057.9663961666674</v>
      </c>
      <c r="L108" s="101">
        <f t="shared" si="81"/>
        <v>5945.9345562833332</v>
      </c>
      <c r="M108" s="101"/>
      <c r="N108" s="166"/>
      <c r="O108" s="101"/>
      <c r="P108" s="101"/>
      <c r="Q108" s="101"/>
      <c r="R108" s="101"/>
    </row>
    <row r="109" spans="7:22" x14ac:dyDescent="0.3">
      <c r="I109" s="101">
        <f t="shared" ref="I109:L109" si="82">$I103*I$53</f>
        <v>241461.43256250003</v>
      </c>
      <c r="J109" s="101">
        <f t="shared" si="82"/>
        <v>24596.974012500003</v>
      </c>
      <c r="K109" s="101">
        <f t="shared" si="82"/>
        <v>18586.942351875005</v>
      </c>
      <c r="L109" s="101">
        <f t="shared" si="82"/>
        <v>18243.208297687503</v>
      </c>
      <c r="M109" s="101"/>
      <c r="N109" s="166"/>
      <c r="O109" s="101"/>
      <c r="P109" s="101"/>
      <c r="Q109" s="101"/>
      <c r="R109" s="101"/>
    </row>
    <row r="110" spans="7:22" x14ac:dyDescent="0.3">
      <c r="I110" s="195">
        <f t="shared" ref="I110:L111" si="83">$I104*I$53</f>
        <v>429264.76900000003</v>
      </c>
      <c r="J110" s="195">
        <f t="shared" si="83"/>
        <v>43727.953799999996</v>
      </c>
      <c r="K110" s="195">
        <f t="shared" si="83"/>
        <v>33043.453070000003</v>
      </c>
      <c r="L110" s="195">
        <f t="shared" si="83"/>
        <v>32432.370307000001</v>
      </c>
      <c r="M110" s="195"/>
      <c r="N110" s="217" t="s">
        <v>965</v>
      </c>
      <c r="O110" s="101"/>
      <c r="P110" s="101"/>
      <c r="Q110" s="101"/>
      <c r="R110" s="101"/>
    </row>
    <row r="111" spans="7:22" x14ac:dyDescent="0.3">
      <c r="I111" s="232">
        <f t="shared" si="83"/>
        <v>536580.96125000005</v>
      </c>
      <c r="J111" s="232">
        <f t="shared" si="83"/>
        <v>54659.94225</v>
      </c>
      <c r="K111" s="232">
        <f t="shared" si="83"/>
        <v>41304.316337500008</v>
      </c>
      <c r="L111" s="232">
        <f t="shared" si="83"/>
        <v>40540.462883749999</v>
      </c>
      <c r="N111" s="217" t="s">
        <v>966</v>
      </c>
      <c r="O111" s="175">
        <f>O70+O74+O80+O84+O88+O98</f>
        <v>311444103.94578141</v>
      </c>
      <c r="P111" s="175">
        <f>P70+P74+P80+P84+P88+P98</f>
        <v>9722632.6867067832</v>
      </c>
      <c r="Q111" s="175">
        <f t="shared" ref="Q111:R111" si="84">Q70+Q74+Q80+Q84+Q88+Q98</f>
        <v>1018533.0937624264</v>
      </c>
      <c r="R111" s="175">
        <f t="shared" si="84"/>
        <v>164394.282027646</v>
      </c>
    </row>
    <row r="112" spans="7:22" x14ac:dyDescent="0.3">
      <c r="I112" s="8" t="s">
        <v>941</v>
      </c>
      <c r="J112" s="8"/>
      <c r="K112" s="8"/>
      <c r="L112" s="8"/>
      <c r="N112" t="s">
        <v>793</v>
      </c>
      <c r="O112" s="175">
        <f t="shared" ref="O112:R114" si="85">O71+O75+O81+O85+O89+O99</f>
        <v>175068771.18765202</v>
      </c>
      <c r="P112" s="175">
        <f>P71+P75+P81+P85+P89+P99</f>
        <v>5653984.0077593606</v>
      </c>
      <c r="Q112" s="175">
        <f t="shared" si="85"/>
        <v>603397.67966537597</v>
      </c>
      <c r="R112" s="175">
        <f t="shared" si="85"/>
        <v>98205.393331040003</v>
      </c>
    </row>
    <row r="113" spans="7:18" x14ac:dyDescent="0.3">
      <c r="I113" s="208">
        <f>$K102*I$53</f>
        <v>12591.766557333334</v>
      </c>
      <c r="J113" s="208">
        <f t="shared" ref="J113:L113" si="86">$K102*J$53</f>
        <v>1282.6866448000001</v>
      </c>
      <c r="K113" s="208">
        <f t="shared" si="86"/>
        <v>969.27462338666692</v>
      </c>
      <c r="L113" s="208">
        <f t="shared" si="86"/>
        <v>951.34952900533347</v>
      </c>
      <c r="M113" s="207"/>
      <c r="N113" t="s">
        <v>794</v>
      </c>
      <c r="O113" s="175">
        <f t="shared" si="85"/>
        <v>77796174.442601413</v>
      </c>
      <c r="P113" s="175">
        <f>P72+P76+P82+P86+P90+P100</f>
        <v>2573565.1241095038</v>
      </c>
      <c r="Q113" s="175">
        <f t="shared" si="85"/>
        <v>278362.46749179077</v>
      </c>
      <c r="R113" s="175">
        <f t="shared" si="85"/>
        <v>45558.838379650988</v>
      </c>
    </row>
    <row r="114" spans="7:18" x14ac:dyDescent="0.3">
      <c r="I114" s="208">
        <f t="shared" ref="I114:L116" si="87">$K103*I$53</f>
        <v>38633.829210000004</v>
      </c>
      <c r="J114" s="208">
        <f t="shared" si="87"/>
        <v>3935.5158419999998</v>
      </c>
      <c r="K114" s="208">
        <f t="shared" si="87"/>
        <v>2973.9107763000006</v>
      </c>
      <c r="L114" s="208">
        <f t="shared" si="87"/>
        <v>2918.9133276300004</v>
      </c>
      <c r="M114" s="101"/>
      <c r="N114" t="s">
        <v>795</v>
      </c>
      <c r="O114" s="175">
        <f t="shared" si="85"/>
        <v>17481361.811366003</v>
      </c>
      <c r="P114" s="175">
        <f>P73+P77+P83+P87+P91+P101</f>
        <v>565902.63705645106</v>
      </c>
      <c r="Q114" s="175">
        <f t="shared" si="85"/>
        <v>59839.737272370949</v>
      </c>
      <c r="R114" s="175">
        <f t="shared" si="85"/>
        <v>9823.3768276900664</v>
      </c>
    </row>
    <row r="115" spans="7:18" x14ac:dyDescent="0.3">
      <c r="I115" s="208">
        <f t="shared" si="87"/>
        <v>68682.363040000011</v>
      </c>
      <c r="J115" s="208">
        <f t="shared" si="87"/>
        <v>6996.472608</v>
      </c>
      <c r="K115" s="208">
        <f t="shared" si="87"/>
        <v>5286.9524912000006</v>
      </c>
      <c r="L115" s="208">
        <f t="shared" si="87"/>
        <v>5189.1792491200003</v>
      </c>
      <c r="M115" s="101"/>
      <c r="O115" s="101"/>
      <c r="P115" s="101"/>
      <c r="Q115" s="101"/>
      <c r="R115" s="101"/>
    </row>
    <row r="116" spans="7:18" x14ac:dyDescent="0.3">
      <c r="I116" s="208">
        <f t="shared" si="87"/>
        <v>85852.953800000003</v>
      </c>
      <c r="J116" s="208">
        <f t="shared" si="87"/>
        <v>8745.5907599999991</v>
      </c>
      <c r="K116" s="208">
        <f t="shared" si="87"/>
        <v>6608.690614000001</v>
      </c>
      <c r="L116" s="208">
        <f t="shared" si="87"/>
        <v>6486.4740614000002</v>
      </c>
      <c r="M116" s="101"/>
      <c r="N116" s="217" t="s">
        <v>841</v>
      </c>
      <c r="O116" s="101"/>
      <c r="P116" s="101"/>
      <c r="Q116" s="101"/>
      <c r="R116" s="101"/>
    </row>
    <row r="117" spans="7:18" x14ac:dyDescent="0.3">
      <c r="G117" t="s">
        <v>942</v>
      </c>
      <c r="I117" s="184">
        <f>AVERAGE(I109, I110, I115, I116)</f>
        <v>206315.37960062502</v>
      </c>
      <c r="J117" s="184">
        <f t="shared" ref="J117:L117" si="88">AVERAGE(J109, J110, J115, J116)</f>
        <v>21016.747795124997</v>
      </c>
      <c r="K117" s="184">
        <f t="shared" si="88"/>
        <v>15881.509631768751</v>
      </c>
      <c r="L117" s="184">
        <f t="shared" si="88"/>
        <v>15587.807978801877</v>
      </c>
      <c r="M117" s="184"/>
      <c r="N117" s="217" t="s">
        <v>968</v>
      </c>
      <c r="O117" s="190">
        <f>O$14-O70</f>
        <v>279266180.625</v>
      </c>
      <c r="P117" s="190">
        <f>P$14-P70</f>
        <v>4854245.25</v>
      </c>
      <c r="Q117" s="190">
        <f t="shared" ref="Q117:R118" si="89">Q$14-Q70</f>
        <v>133866.71437499998</v>
      </c>
      <c r="R117" s="190">
        <f t="shared" si="89"/>
        <v>8700.4353750000009</v>
      </c>
    </row>
    <row r="118" spans="7:18" x14ac:dyDescent="0.3">
      <c r="K118" s="101"/>
      <c r="L118" s="101"/>
      <c r="M118" s="101"/>
      <c r="N118" s="168" t="s">
        <v>782</v>
      </c>
      <c r="O118" s="190">
        <f>O$14-O71</f>
        <v>308822706</v>
      </c>
      <c r="P118" s="190">
        <f>P$14-P71</f>
        <v>5512317.6000000006</v>
      </c>
      <c r="Q118" s="190">
        <f t="shared" si="89"/>
        <v>157712.38199999998</v>
      </c>
      <c r="R118" s="190">
        <f t="shared" si="89"/>
        <v>10368.3084</v>
      </c>
    </row>
    <row r="119" spans="7:18" x14ac:dyDescent="0.3">
      <c r="K119" s="101">
        <f>O14</f>
        <v>349110000</v>
      </c>
      <c r="L119" s="101">
        <f>O71+O118</f>
        <v>349110000</v>
      </c>
      <c r="N119" s="168" t="s">
        <v>783</v>
      </c>
      <c r="O119" s="190">
        <f t="shared" ref="O119:R120" si="90">O$14-O72</f>
        <v>330537679.65450001</v>
      </c>
      <c r="P119" s="190">
        <f>P$14-P72</f>
        <v>6018976.2882000003</v>
      </c>
      <c r="Q119" s="190">
        <f t="shared" si="90"/>
        <v>176785.88466149999</v>
      </c>
      <c r="R119" s="190">
        <f t="shared" si="90"/>
        <v>11713.6608063</v>
      </c>
    </row>
    <row r="120" spans="7:18" x14ac:dyDescent="0.3">
      <c r="N120" s="8" t="s">
        <v>784</v>
      </c>
      <c r="O120" s="228">
        <f t="shared" si="90"/>
        <v>346206550.92812997</v>
      </c>
      <c r="P120" s="228">
        <f>P$14-P73</f>
        <v>6394909.6197480001</v>
      </c>
      <c r="Q120" s="228">
        <f t="shared" si="90"/>
        <v>191242.38464810996</v>
      </c>
      <c r="R120" s="228">
        <f t="shared" si="90"/>
        <v>12737.970329981999</v>
      </c>
    </row>
    <row r="121" spans="7:18" x14ac:dyDescent="0.3">
      <c r="N121" s="217" t="s">
        <v>956</v>
      </c>
      <c r="O121" s="190">
        <f t="shared" ref="O121:R123" si="91">O$20-O74</f>
        <v>1048005559.5016687</v>
      </c>
      <c r="P121" s="190">
        <f>P$20-P74</f>
        <v>8107796.7479732176</v>
      </c>
      <c r="Q121" s="190">
        <f t="shared" si="91"/>
        <v>577006.0178870738</v>
      </c>
      <c r="R121" s="190">
        <f t="shared" si="91"/>
        <v>35167.920346104002</v>
      </c>
    </row>
    <row r="122" spans="7:18" x14ac:dyDescent="0.3">
      <c r="K122" s="101">
        <f>0.5*O20</f>
        <v>618840011.51560009</v>
      </c>
      <c r="L122" s="101">
        <f>O122+O75</f>
        <v>1237680023.0312002</v>
      </c>
      <c r="M122" s="101"/>
      <c r="N122" s="217" t="s">
        <v>957</v>
      </c>
      <c r="O122" s="190">
        <f t="shared" si="91"/>
        <v>1132477221.0735481</v>
      </c>
      <c r="P122" s="190">
        <f t="shared" si="91"/>
        <v>8893125.0515206419</v>
      </c>
      <c r="Q122" s="190">
        <f t="shared" si="91"/>
        <v>645410.72340662417</v>
      </c>
      <c r="R122" s="190">
        <f t="shared" si="91"/>
        <v>39567.601396960003</v>
      </c>
    </row>
    <row r="123" spans="7:18" x14ac:dyDescent="0.3">
      <c r="N123" s="217" t="s">
        <v>958</v>
      </c>
      <c r="O123" s="190">
        <f t="shared" si="91"/>
        <v>1191607384.1738636</v>
      </c>
      <c r="P123" s="190">
        <f t="shared" si="91"/>
        <v>9454639.7401856966</v>
      </c>
      <c r="Q123" s="190">
        <f t="shared" si="91"/>
        <v>695251.59141427942</v>
      </c>
      <c r="R123" s="190">
        <f t="shared" si="91"/>
        <v>42787.295712699997</v>
      </c>
    </row>
    <row r="124" spans="7:18" x14ac:dyDescent="0.3">
      <c r="N124" s="217" t="s">
        <v>959</v>
      </c>
      <c r="O124" s="190">
        <f>O$20-O77</f>
        <v>1226457978.2623763</v>
      </c>
      <c r="P124" s="190">
        <f>P$20-P77</f>
        <v>9800837.8087280784</v>
      </c>
      <c r="Q124" s="190">
        <f>Q$20-Q77</f>
        <v>727160.04996098916</v>
      </c>
      <c r="R124" s="190">
        <f>R$20-R77</f>
        <v>44865.980333506079</v>
      </c>
    </row>
    <row r="125" spans="7:18" x14ac:dyDescent="0.3">
      <c r="N125" s="168"/>
      <c r="O125" s="101"/>
      <c r="P125" s="101"/>
      <c r="Q125" s="101"/>
      <c r="R125" s="101"/>
    </row>
    <row r="126" spans="7:18" x14ac:dyDescent="0.3">
      <c r="K126" s="192">
        <f>0.5*O20</f>
        <v>618840011.51560009</v>
      </c>
      <c r="L126" s="101">
        <f>O126</f>
        <v>0</v>
      </c>
      <c r="M126" s="101"/>
      <c r="N126" s="168"/>
      <c r="O126" s="101"/>
      <c r="P126" s="101"/>
      <c r="Q126" s="101"/>
      <c r="R126" s="101"/>
    </row>
    <row r="127" spans="7:18" x14ac:dyDescent="0.3">
      <c r="N127" s="168" t="s">
        <v>971</v>
      </c>
      <c r="O127" s="101"/>
      <c r="P127" s="101"/>
      <c r="Q127" s="101"/>
      <c r="R127" s="101"/>
    </row>
    <row r="128" spans="7:18" x14ac:dyDescent="0.3">
      <c r="K128" s="101">
        <f>O23</f>
        <v>5000000</v>
      </c>
      <c r="L128" s="101">
        <f>O128</f>
        <v>34369110.208750002</v>
      </c>
      <c r="M128" s="101"/>
      <c r="N128" s="168" t="s">
        <v>972</v>
      </c>
      <c r="O128" s="190">
        <f>SUM(O$23:O$27)-SUM(O80, O84, O88)</f>
        <v>34369110.208750002</v>
      </c>
      <c r="P128" s="190">
        <f>SUM(P$23:P$27)-SUM(P80, P84, P88)</f>
        <v>1626700.611</v>
      </c>
      <c r="Q128" s="190">
        <f>SUM(Q$23:Q$27)-SUM(Q80, Q84, Q88)</f>
        <v>113756.66578750001</v>
      </c>
      <c r="R128" s="190">
        <f>SUM(R$23:R$27)-SUM(R80, R84, R88)</f>
        <v>11143.925511250001</v>
      </c>
    </row>
    <row r="129" spans="11:18" x14ac:dyDescent="0.3">
      <c r="K129" s="101">
        <f t="shared" ref="K129:K131" si="92">O24</f>
        <v>2000000</v>
      </c>
      <c r="L129" s="101">
        <f t="shared" ref="L129:L130" si="93">O129</f>
        <v>36956564.769999996</v>
      </c>
      <c r="M129" s="101"/>
      <c r="N129" s="217" t="s">
        <v>972</v>
      </c>
      <c r="O129" s="190">
        <f t="shared" ref="O129:R131" si="94">SUM(O$23:O$27)-SUM(O81, O85, O89)</f>
        <v>36956564.769999996</v>
      </c>
      <c r="P129" s="190">
        <f t="shared" si="94"/>
        <v>1773477.8363999999</v>
      </c>
      <c r="Q129" s="190">
        <f t="shared" si="94"/>
        <v>128292.46424</v>
      </c>
      <c r="R129" s="190">
        <f t="shared" si="94"/>
        <v>12649.878632000002</v>
      </c>
    </row>
    <row r="130" spans="11:18" x14ac:dyDescent="0.3">
      <c r="K130" s="101">
        <f t="shared" si="92"/>
        <v>20000000</v>
      </c>
      <c r="L130" s="101">
        <f t="shared" si="93"/>
        <v>38596981.965235002</v>
      </c>
      <c r="M130" s="101"/>
      <c r="N130" s="217" t="s">
        <v>972</v>
      </c>
      <c r="O130" s="190">
        <f t="shared" si="94"/>
        <v>38596981.965235002</v>
      </c>
      <c r="P130" s="190">
        <f t="shared" si="94"/>
        <v>1870585.1335847999</v>
      </c>
      <c r="Q130" s="190">
        <f t="shared" si="94"/>
        <v>139106.89383443</v>
      </c>
      <c r="R130" s="190">
        <f t="shared" si="94"/>
        <v>13780.762483349001</v>
      </c>
    </row>
    <row r="131" spans="11:18" x14ac:dyDescent="0.3">
      <c r="K131" s="101">
        <f t="shared" si="92"/>
        <v>2721300</v>
      </c>
      <c r="L131" s="101">
        <f>O84+O131</f>
        <v>39885967.514277898</v>
      </c>
      <c r="M131" s="101"/>
      <c r="N131" s="217" t="s">
        <v>972</v>
      </c>
      <c r="O131" s="190">
        <f t="shared" si="94"/>
        <v>39327840.2230279</v>
      </c>
      <c r="P131" s="190">
        <f t="shared" si="94"/>
        <v>1921669.3256034721</v>
      </c>
      <c r="Q131" s="190">
        <f t="shared" si="94"/>
        <v>146318.51509313021</v>
      </c>
      <c r="R131" s="190">
        <f t="shared" si="94"/>
        <v>14542.492069901862</v>
      </c>
    </row>
    <row r="132" spans="11:18" x14ac:dyDescent="0.3">
      <c r="N132" s="168"/>
      <c r="O132" s="190"/>
      <c r="P132" s="190"/>
      <c r="Q132" s="190"/>
      <c r="R132" s="190"/>
    </row>
    <row r="133" spans="11:18" x14ac:dyDescent="0.3">
      <c r="N133" s="168"/>
      <c r="O133" s="190"/>
      <c r="P133" s="190"/>
      <c r="Q133" s="190"/>
      <c r="R133" s="190"/>
    </row>
    <row r="134" spans="11:18" x14ac:dyDescent="0.3">
      <c r="N134" s="168"/>
    </row>
    <row r="135" spans="11:18" x14ac:dyDescent="0.3">
      <c r="K135" s="101">
        <f>O27</f>
        <v>10000000</v>
      </c>
      <c r="L135" s="101">
        <f>O88+O135</f>
        <v>1419062.5</v>
      </c>
      <c r="M135" s="101"/>
      <c r="N135" s="168"/>
      <c r="O135" s="190"/>
      <c r="P135" s="190"/>
      <c r="Q135" s="190"/>
      <c r="R135" s="190"/>
    </row>
    <row r="136" spans="11:18" x14ac:dyDescent="0.3">
      <c r="N136" s="168"/>
      <c r="O136" s="190"/>
      <c r="P136" s="190"/>
      <c r="Q136" s="190"/>
      <c r="R136" s="190"/>
    </row>
    <row r="137" spans="11:18" x14ac:dyDescent="0.3">
      <c r="N137" s="168"/>
      <c r="O137" s="190"/>
      <c r="P137" s="190"/>
      <c r="Q137" s="190"/>
      <c r="R137" s="190"/>
    </row>
    <row r="138" spans="11:18" x14ac:dyDescent="0.3">
      <c r="N138" s="217" t="s">
        <v>970</v>
      </c>
      <c r="O138" s="190">
        <f t="shared" ref="O138:R140" si="95">SUM(O$30:O$45)-O98</f>
        <v>281626368.75</v>
      </c>
      <c r="P138" s="190">
        <f t="shared" si="95"/>
        <v>30041142</v>
      </c>
      <c r="Q138" s="190">
        <f t="shared" si="95"/>
        <v>3121356.6375000002</v>
      </c>
      <c r="R138" s="190">
        <f t="shared" si="95"/>
        <v>565415.12250000006</v>
      </c>
    </row>
    <row r="139" spans="11:18" x14ac:dyDescent="0.3">
      <c r="K139" s="101">
        <f>SUM(O30:O45)</f>
        <v>328200000</v>
      </c>
      <c r="L139" s="101">
        <f>O106+O139</f>
        <v>301386060</v>
      </c>
      <c r="M139" s="101"/>
      <c r="N139" s="168" t="s">
        <v>790</v>
      </c>
      <c r="O139" s="190">
        <f t="shared" si="95"/>
        <v>301386060</v>
      </c>
      <c r="P139" s="190">
        <f t="shared" si="95"/>
        <v>32519612.800000001</v>
      </c>
      <c r="Q139" s="190">
        <f t="shared" si="95"/>
        <v>3429705.88</v>
      </c>
      <c r="R139" s="190">
        <f t="shared" si="95"/>
        <v>624030.50399999996</v>
      </c>
    </row>
    <row r="140" spans="11:18" x14ac:dyDescent="0.3">
      <c r="N140" s="168" t="s">
        <v>791</v>
      </c>
      <c r="O140" s="190">
        <f t="shared" si="95"/>
        <v>316173102.79500002</v>
      </c>
      <c r="P140" s="190">
        <f t="shared" si="95"/>
        <v>34434751.009599999</v>
      </c>
      <c r="Q140" s="190">
        <f t="shared" si="95"/>
        <v>3675012.2919100001</v>
      </c>
      <c r="R140" s="190">
        <f t="shared" si="95"/>
        <v>670981.12837799999</v>
      </c>
    </row>
    <row r="141" spans="11:18" x14ac:dyDescent="0.3">
      <c r="N141" s="168" t="s">
        <v>792</v>
      </c>
      <c r="O141" s="190">
        <f>SUM(O$30:O$45)-O101</f>
        <v>325237591.80629998</v>
      </c>
      <c r="P141" s="190">
        <f t="shared" ref="P141:R141" si="96">SUM(P$30:P$45)-P101</f>
        <v>35669197.904544003</v>
      </c>
      <c r="Q141" s="190">
        <f t="shared" si="96"/>
        <v>3839958.4423373998</v>
      </c>
      <c r="R141" s="190">
        <f t="shared" si="96"/>
        <v>702851.86619891995</v>
      </c>
    </row>
    <row r="142" spans="11:18" x14ac:dyDescent="0.3">
      <c r="N142" s="174" t="s">
        <v>842</v>
      </c>
      <c r="O142" s="186"/>
      <c r="P142" s="186"/>
      <c r="Q142" s="186"/>
      <c r="R142" s="186"/>
    </row>
    <row r="143" spans="11:18" x14ac:dyDescent="0.3">
      <c r="N143" s="186" t="s">
        <v>969</v>
      </c>
      <c r="O143" s="175">
        <f t="shared" ref="O143:R145" si="97">O117+O121+O128+O138</f>
        <v>1643267219.0854187</v>
      </c>
      <c r="P143" s="175">
        <f t="shared" si="97"/>
        <v>44629884.60897322</v>
      </c>
      <c r="Q143" s="175">
        <f t="shared" si="97"/>
        <v>3945986.0355495741</v>
      </c>
      <c r="R143" s="175">
        <f t="shared" si="97"/>
        <v>620427.40373235405</v>
      </c>
    </row>
    <row r="144" spans="11:18" x14ac:dyDescent="0.3">
      <c r="L144" s="66">
        <f>O144+O112</f>
        <v>1954711323.0312002</v>
      </c>
      <c r="M144" s="66"/>
      <c r="N144" s="186" t="s">
        <v>806</v>
      </c>
      <c r="O144" s="175">
        <f t="shared" si="97"/>
        <v>1779642551.8435481</v>
      </c>
      <c r="P144" s="175">
        <f t="shared" si="97"/>
        <v>48698533.287920646</v>
      </c>
      <c r="Q144" s="175">
        <f t="shared" si="97"/>
        <v>4361121.4496466238</v>
      </c>
      <c r="R144" s="175">
        <f t="shared" si="97"/>
        <v>686616.29242895998</v>
      </c>
    </row>
    <row r="145" spans="9:18" x14ac:dyDescent="0.3">
      <c r="L145" s="66">
        <f t="shared" ref="L145:L146" si="98">O145+O113</f>
        <v>1954711323.0312002</v>
      </c>
      <c r="M145" s="66"/>
      <c r="N145" s="186" t="s">
        <v>807</v>
      </c>
      <c r="O145" s="175">
        <f t="shared" si="97"/>
        <v>1876915148.5885987</v>
      </c>
      <c r="P145" s="175">
        <f t="shared" si="97"/>
        <v>51778952.171570495</v>
      </c>
      <c r="Q145" s="175">
        <f t="shared" si="97"/>
        <v>4686156.6618202096</v>
      </c>
      <c r="R145" s="175">
        <f t="shared" si="97"/>
        <v>739262.84738034895</v>
      </c>
    </row>
    <row r="146" spans="9:18" x14ac:dyDescent="0.3">
      <c r="L146" s="66">
        <f t="shared" si="98"/>
        <v>1954711323.0312002</v>
      </c>
      <c r="M146" s="66"/>
      <c r="N146" s="186" t="s">
        <v>808</v>
      </c>
      <c r="O146" s="175">
        <f>O120+O124+O131+O141</f>
        <v>1937229961.2198341</v>
      </c>
      <c r="P146" s="175">
        <f t="shared" ref="P146:R146" si="99">P120+P124+P131+P141</f>
        <v>53786614.658623554</v>
      </c>
      <c r="Q146" s="175">
        <f t="shared" si="99"/>
        <v>4904679.3920396287</v>
      </c>
      <c r="R146" s="175">
        <f t="shared" si="99"/>
        <v>774998.30893230985</v>
      </c>
    </row>
    <row r="147" spans="9:18" x14ac:dyDescent="0.3">
      <c r="M147" s="5" t="s">
        <v>843</v>
      </c>
      <c r="N147" s="217" t="s">
        <v>969</v>
      </c>
      <c r="O147" s="191">
        <f>(O117+O121)/O143</f>
        <v>0.8077029254349628</v>
      </c>
      <c r="P147" s="191">
        <f t="shared" ref="P147:R147" si="100">(P117+P121)/P143</f>
        <v>0.29043413648815686</v>
      </c>
      <c r="Q147" s="191">
        <f t="shared" si="100"/>
        <v>0.18015084844644352</v>
      </c>
      <c r="R147" s="191">
        <f t="shared" si="100"/>
        <v>7.0706670042621711E-2</v>
      </c>
    </row>
    <row r="148" spans="9:18" x14ac:dyDescent="0.3">
      <c r="N148" s="168" t="s">
        <v>806</v>
      </c>
      <c r="O148" s="191">
        <f>(O118+O122)/O144</f>
        <v>0.80988169538905008</v>
      </c>
      <c r="P148" s="191">
        <f t="shared" ref="P148:R148" si="101">(P118+P122)/P144</f>
        <v>0.29580855272070011</v>
      </c>
      <c r="Q148" s="191">
        <f t="shared" si="101"/>
        <v>0.18415517996447914</v>
      </c>
      <c r="R148" s="191">
        <f t="shared" si="101"/>
        <v>7.2727534064634169E-2</v>
      </c>
    </row>
    <row r="149" spans="9:18" x14ac:dyDescent="0.3">
      <c r="N149" s="168" t="s">
        <v>807</v>
      </c>
      <c r="O149" s="191">
        <f t="shared" ref="O149:R150" si="102">(O119+O123)/O145</f>
        <v>0.81098235313034006</v>
      </c>
      <c r="P149" s="191">
        <f t="shared" si="102"/>
        <v>0.29883988337797163</v>
      </c>
      <c r="Q149" s="191">
        <f t="shared" si="102"/>
        <v>0.1860879904380022</v>
      </c>
      <c r="R149" s="191">
        <f t="shared" si="102"/>
        <v>7.3723380949184084E-2</v>
      </c>
    </row>
    <row r="150" spans="9:18" x14ac:dyDescent="0.3">
      <c r="N150" s="168" t="s">
        <v>808</v>
      </c>
      <c r="O150" s="191">
        <f t="shared" si="102"/>
        <v>0.81181096755298554</v>
      </c>
      <c r="P150" s="191">
        <f t="shared" si="102"/>
        <v>0.30111111344836111</v>
      </c>
      <c r="Q150" s="191">
        <f t="shared" si="102"/>
        <v>0.18725024842595839</v>
      </c>
      <c r="R150" s="191">
        <f t="shared" si="102"/>
        <v>7.4327840460512981E-2</v>
      </c>
    </row>
    <row r="151" spans="9:18" x14ac:dyDescent="0.3">
      <c r="M151" s="5" t="s">
        <v>844</v>
      </c>
      <c r="N151" s="217" t="s">
        <v>969</v>
      </c>
      <c r="O151" s="191">
        <f t="shared" ref="O151:R153" si="103">(O128)/O143</f>
        <v>2.0915107299395025E-2</v>
      </c>
      <c r="P151" s="191">
        <f t="shared" si="103"/>
        <v>3.6448685118781105E-2</v>
      </c>
      <c r="Q151" s="191">
        <f t="shared" si="103"/>
        <v>2.8828451181190418E-2</v>
      </c>
      <c r="R151" s="191">
        <f t="shared" si="103"/>
        <v>1.7961691318292214E-2</v>
      </c>
    </row>
    <row r="152" spans="9:18" x14ac:dyDescent="0.3">
      <c r="N152" s="168" t="s">
        <v>806</v>
      </c>
      <c r="O152" s="191">
        <f t="shared" si="103"/>
        <v>2.0766285191212333E-2</v>
      </c>
      <c r="P152" s="191">
        <f t="shared" si="103"/>
        <v>3.641747947345058E-2</v>
      </c>
      <c r="Q152" s="191">
        <f t="shared" si="103"/>
        <v>2.9417310598033306E-2</v>
      </c>
      <c r="R152" s="191">
        <f t="shared" si="103"/>
        <v>1.8423504905847845E-2</v>
      </c>
    </row>
    <row r="153" spans="9:18" x14ac:dyDescent="0.3">
      <c r="N153" s="168" t="s">
        <v>807</v>
      </c>
      <c r="O153" s="191">
        <f t="shared" si="103"/>
        <v>2.0564052666024426E-2</v>
      </c>
      <c r="P153" s="191">
        <f t="shared" si="103"/>
        <v>3.6126361294191167E-2</v>
      </c>
      <c r="Q153" s="191">
        <f t="shared" si="103"/>
        <v>2.9684644341445836E-2</v>
      </c>
      <c r="R153" s="191">
        <f t="shared" si="103"/>
        <v>1.8641221498121401E-2</v>
      </c>
    </row>
    <row r="154" spans="9:18" x14ac:dyDescent="0.3">
      <c r="N154" s="168" t="s">
        <v>808</v>
      </c>
      <c r="O154" s="191">
        <f>(O131)/O146</f>
        <v>2.0301069573724722E-2</v>
      </c>
      <c r="P154" s="191">
        <f t="shared" ref="P154:R154" si="104">(P131)/P146</f>
        <v>3.5727649672693665E-2</v>
      </c>
      <c r="Q154" s="191">
        <f t="shared" si="104"/>
        <v>2.9832432132181248E-2</v>
      </c>
      <c r="R154" s="191">
        <f t="shared" si="104"/>
        <v>1.8764546841317092E-2</v>
      </c>
    </row>
    <row r="155" spans="9:18" x14ac:dyDescent="0.3">
      <c r="M155" s="5" t="s">
        <v>845</v>
      </c>
      <c r="N155" s="217" t="s">
        <v>969</v>
      </c>
      <c r="O155" s="191">
        <f t="shared" ref="O155:R155" si="105">O138/O143</f>
        <v>0.17138196726564212</v>
      </c>
      <c r="P155" s="191">
        <f t="shared" si="105"/>
        <v>0.67311717839306207</v>
      </c>
      <c r="Q155" s="191">
        <f t="shared" si="105"/>
        <v>0.79102070037236605</v>
      </c>
      <c r="R155" s="191">
        <f t="shared" si="105"/>
        <v>0.91133163863908606</v>
      </c>
    </row>
    <row r="156" spans="9:18" x14ac:dyDescent="0.3">
      <c r="N156" s="168" t="s">
        <v>806</v>
      </c>
      <c r="O156" s="191">
        <f t="shared" ref="O156:R156" si="106">O139/O144</f>
        <v>0.16935201941973763</v>
      </c>
      <c r="P156" s="191">
        <f t="shared" si="106"/>
        <v>0.6677739678058493</v>
      </c>
      <c r="Q156" s="191">
        <f t="shared" si="106"/>
        <v>0.78642750943748763</v>
      </c>
      <c r="R156" s="191">
        <f t="shared" si="106"/>
        <v>0.90884896102951795</v>
      </c>
    </row>
    <row r="157" spans="9:18" x14ac:dyDescent="0.3">
      <c r="N157" s="168" t="s">
        <v>807</v>
      </c>
      <c r="O157" s="191">
        <f t="shared" ref="O157:R157" si="107">O140/O145</f>
        <v>0.16845359420363548</v>
      </c>
      <c r="P157" s="191">
        <f t="shared" si="107"/>
        <v>0.66503375532783726</v>
      </c>
      <c r="Q157" s="191">
        <f t="shared" si="107"/>
        <v>0.78422736522055192</v>
      </c>
      <c r="R157" s="191">
        <f t="shared" si="107"/>
        <v>0.90763539755269462</v>
      </c>
    </row>
    <row r="158" spans="9:18" x14ac:dyDescent="0.3">
      <c r="I158" t="s">
        <v>935</v>
      </c>
      <c r="K158" s="166" t="s">
        <v>35</v>
      </c>
      <c r="N158" s="168" t="s">
        <v>808</v>
      </c>
      <c r="O158" s="191">
        <f t="shared" ref="O158" si="108">O141/O146</f>
        <v>0.16788796287328972</v>
      </c>
      <c r="P158" s="191">
        <f t="shared" ref="P158:R158" si="109">P141/P146</f>
        <v>0.66316123687894524</v>
      </c>
      <c r="Q158" s="191">
        <f t="shared" si="109"/>
        <v>0.78291731944186038</v>
      </c>
      <c r="R158" s="191">
        <f t="shared" si="109"/>
        <v>0.90690761269817</v>
      </c>
    </row>
    <row r="159" spans="9:18" x14ac:dyDescent="0.3">
      <c r="J159" s="166" t="s">
        <v>872</v>
      </c>
      <c r="K159" s="166" t="s">
        <v>36</v>
      </c>
      <c r="L159" s="166" t="s">
        <v>936</v>
      </c>
    </row>
    <row r="160" spans="9:18" x14ac:dyDescent="0.3">
      <c r="I160" t="s">
        <v>28</v>
      </c>
      <c r="J160" s="166">
        <v>0.67500000000000004</v>
      </c>
      <c r="K160" s="166">
        <v>1E-3</v>
      </c>
      <c r="L160" s="166">
        <f>J160*K160</f>
        <v>6.7500000000000004E-4</v>
      </c>
      <c r="O160" s="1">
        <f>O147+O151+O155</f>
        <v>1</v>
      </c>
      <c r="P160" s="1">
        <f t="shared" ref="P160:R160" si="110">P147+P151+P155</f>
        <v>1</v>
      </c>
      <c r="Q160" s="1">
        <f t="shared" si="110"/>
        <v>1</v>
      </c>
      <c r="R160" s="1">
        <f t="shared" si="110"/>
        <v>1</v>
      </c>
    </row>
    <row r="161" spans="9:18" x14ac:dyDescent="0.3">
      <c r="I161" t="s">
        <v>9</v>
      </c>
      <c r="J161" s="166">
        <v>0.13100000000000001</v>
      </c>
      <c r="K161" s="166">
        <v>2.9000000000000001E-2</v>
      </c>
      <c r="L161" s="214">
        <f t="shared" ref="L161:L166" si="111">J161*K161</f>
        <v>3.7990000000000003E-3</v>
      </c>
      <c r="O161" s="1">
        <f t="shared" ref="O161:R163" si="112">O148+O152+O156</f>
        <v>1</v>
      </c>
      <c r="P161" s="1">
        <f t="shared" si="112"/>
        <v>1</v>
      </c>
      <c r="Q161" s="1">
        <f t="shared" si="112"/>
        <v>1</v>
      </c>
      <c r="R161" s="1">
        <f t="shared" si="112"/>
        <v>1</v>
      </c>
    </row>
    <row r="162" spans="9:18" x14ac:dyDescent="0.3">
      <c r="I162" t="s">
        <v>8</v>
      </c>
      <c r="J162" s="166">
        <v>0.06</v>
      </c>
      <c r="K162" s="166">
        <v>0.45100000000000001</v>
      </c>
      <c r="L162" s="214">
        <f t="shared" si="111"/>
        <v>2.7060000000000001E-2</v>
      </c>
      <c r="O162" s="1">
        <f t="shared" si="112"/>
        <v>1</v>
      </c>
      <c r="P162" s="1">
        <f t="shared" si="112"/>
        <v>1</v>
      </c>
      <c r="Q162" s="1">
        <f t="shared" si="112"/>
        <v>1</v>
      </c>
      <c r="R162" s="1">
        <f t="shared" si="112"/>
        <v>1</v>
      </c>
    </row>
    <row r="163" spans="9:18" x14ac:dyDescent="0.3">
      <c r="I163" t="s">
        <v>7</v>
      </c>
      <c r="J163" s="166">
        <v>4.2999999999999997E-2</v>
      </c>
      <c r="K163" s="166">
        <v>1.008</v>
      </c>
      <c r="L163" s="214">
        <f t="shared" si="111"/>
        <v>4.3343999999999994E-2</v>
      </c>
      <c r="O163" s="1">
        <f t="shared" si="112"/>
        <v>1</v>
      </c>
      <c r="P163" s="1">
        <f t="shared" si="112"/>
        <v>1</v>
      </c>
      <c r="Q163" s="1">
        <f t="shared" si="112"/>
        <v>1</v>
      </c>
      <c r="R163" s="1">
        <f t="shared" si="112"/>
        <v>1</v>
      </c>
    </row>
    <row r="164" spans="9:18" x14ac:dyDescent="0.3">
      <c r="I164" t="s">
        <v>6</v>
      </c>
      <c r="J164" s="166">
        <v>2.4E-2</v>
      </c>
      <c r="K164" s="166">
        <v>2.5529999999999999</v>
      </c>
      <c r="L164" s="214">
        <f t="shared" si="111"/>
        <v>6.1272E-2</v>
      </c>
    </row>
    <row r="165" spans="9:18" x14ac:dyDescent="0.3">
      <c r="I165" t="s">
        <v>5</v>
      </c>
      <c r="J165" s="166">
        <v>2.4E-2</v>
      </c>
      <c r="K165" s="166">
        <v>5.6909999999999998</v>
      </c>
      <c r="L165" s="214">
        <f t="shared" si="111"/>
        <v>0.13658400000000001</v>
      </c>
    </row>
    <row r="166" spans="9:18" x14ac:dyDescent="0.3">
      <c r="I166" t="s">
        <v>4</v>
      </c>
      <c r="J166" s="166">
        <v>4.2999999999999997E-2</v>
      </c>
      <c r="K166" s="166">
        <v>9.5969999999999995</v>
      </c>
      <c r="L166" s="214">
        <f t="shared" si="111"/>
        <v>0.41267099999999995</v>
      </c>
    </row>
    <row r="168" spans="9:18" x14ac:dyDescent="0.3">
      <c r="I168" t="s">
        <v>97</v>
      </c>
      <c r="J168" s="166">
        <f>SUM(J160:J166)</f>
        <v>1.0000000000000002</v>
      </c>
      <c r="K168" s="214"/>
      <c r="L168" s="214">
        <f t="shared" ref="L168" si="113">SUM(L160:L166)</f>
        <v>0.68540500000000004</v>
      </c>
    </row>
    <row r="170" spans="9:18" ht="43.2" x14ac:dyDescent="0.3">
      <c r="L170" s="166" t="s">
        <v>937</v>
      </c>
      <c r="N170" s="2" t="s">
        <v>948</v>
      </c>
      <c r="O170" s="219" t="s">
        <v>949</v>
      </c>
    </row>
    <row r="171" spans="9:18" x14ac:dyDescent="0.3">
      <c r="J171" s="166" t="s">
        <v>938</v>
      </c>
      <c r="L171" s="101">
        <f>0.01*1000000*$L$168</f>
        <v>6854.05</v>
      </c>
      <c r="M171" s="101"/>
      <c r="N171" s="214">
        <f>1/25</f>
        <v>0.04</v>
      </c>
      <c r="O171" s="216">
        <f>L171*N171</f>
        <v>274.16200000000003</v>
      </c>
    </row>
    <row r="172" spans="9:18" x14ac:dyDescent="0.3">
      <c r="J172" s="166" t="s">
        <v>44</v>
      </c>
      <c r="K172" s="166">
        <v>2.5000000000000001E-2</v>
      </c>
      <c r="L172" s="101">
        <f>0.025*1000000*$L$168</f>
        <v>17135.125</v>
      </c>
      <c r="M172" s="101"/>
      <c r="N172" s="214">
        <f>1/8</f>
        <v>0.125</v>
      </c>
      <c r="O172" s="216">
        <f t="shared" ref="O172:O173" si="114">L172*N172</f>
        <v>2141.890625</v>
      </c>
    </row>
    <row r="173" spans="9:18" x14ac:dyDescent="0.3">
      <c r="J173" s="166" t="s">
        <v>45</v>
      </c>
      <c r="K173" s="166">
        <v>0.03</v>
      </c>
      <c r="L173" s="101">
        <f>0.03*1000000*$L$168</f>
        <v>20562.150000000001</v>
      </c>
      <c r="M173" s="101"/>
      <c r="N173" s="214">
        <f>1/5</f>
        <v>0.2</v>
      </c>
      <c r="O173" s="216">
        <f t="shared" si="114"/>
        <v>4112.43</v>
      </c>
    </row>
    <row r="175" spans="9:18" x14ac:dyDescent="0.3">
      <c r="O175" t="s">
        <v>940</v>
      </c>
    </row>
    <row r="176" spans="9:18" x14ac:dyDescent="0.3">
      <c r="I176" t="s">
        <v>939</v>
      </c>
      <c r="K176" s="101">
        <f>0.0367*19.3*47</f>
        <v>33.290570000000002</v>
      </c>
      <c r="N176" s="214">
        <f>1/25</f>
        <v>0.04</v>
      </c>
      <c r="O176" s="216">
        <f>$K$176*N176</f>
        <v>1.3316228000000001</v>
      </c>
    </row>
    <row r="177" spans="14:15" x14ac:dyDescent="0.3">
      <c r="N177" s="214">
        <f>1/8</f>
        <v>0.125</v>
      </c>
      <c r="O177" s="216">
        <f t="shared" ref="O177:O178" si="115">$K$176*N177</f>
        <v>4.1613212500000003</v>
      </c>
    </row>
    <row r="178" spans="14:15" x14ac:dyDescent="0.3">
      <c r="N178" s="214">
        <f>1/5</f>
        <v>0.2</v>
      </c>
      <c r="O178" s="216">
        <f t="shared" si="115"/>
        <v>6.6581140000000012</v>
      </c>
    </row>
  </sheetData>
  <mergeCells count="1">
    <mergeCell ref="O5:R5"/>
  </mergeCell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7AF4E-8234-4EF8-BE00-9423E5DEF832}">
  <dimension ref="A3:AL300"/>
  <sheetViews>
    <sheetView tabSelected="1" topLeftCell="A42" zoomScale="75" zoomScaleNormal="75" workbookViewId="0">
      <selection activeCell="E67" sqref="E67"/>
    </sheetView>
  </sheetViews>
  <sheetFormatPr defaultRowHeight="14.4" x14ac:dyDescent="0.3"/>
  <cols>
    <col min="1" max="1" width="12.5546875" customWidth="1"/>
    <col min="2" max="2" width="17.77734375" customWidth="1"/>
    <col min="3" max="3" width="21.33203125" customWidth="1"/>
    <col min="4" max="4" width="19.88671875" customWidth="1"/>
    <col min="5" max="5" width="17.6640625" customWidth="1"/>
    <col min="6" max="6" width="14.88671875" customWidth="1"/>
    <col min="7" max="7" width="14" customWidth="1"/>
    <col min="8" max="8" width="14.88671875" customWidth="1"/>
    <col min="9" max="9" width="13.5546875" customWidth="1"/>
    <col min="10" max="10" width="15" customWidth="1"/>
    <col min="11" max="11" width="13.21875" customWidth="1"/>
    <col min="12" max="12" width="12" customWidth="1"/>
    <col min="13" max="13" width="15.44140625" customWidth="1"/>
    <col min="15" max="15" width="15.109375" customWidth="1"/>
    <col min="16" max="18" width="12.77734375" customWidth="1"/>
    <col min="19" max="19" width="6.88671875" customWidth="1"/>
    <col min="20" max="20" width="15" customWidth="1"/>
    <col min="21" max="23" width="12.77734375" customWidth="1"/>
    <col min="24" max="24" width="6.88671875" customWidth="1"/>
    <col min="25" max="25" width="15.44140625" customWidth="1"/>
    <col min="26" max="28" width="12.77734375" customWidth="1"/>
    <col min="29" max="29" width="6.88671875" customWidth="1"/>
    <col min="30" max="30" width="15.109375" customWidth="1"/>
    <col min="31" max="32" width="12.77734375" customWidth="1"/>
    <col min="33" max="33" width="14" customWidth="1"/>
    <col min="35" max="35" width="14" customWidth="1"/>
    <col min="36" max="38" width="11.77734375" customWidth="1"/>
  </cols>
  <sheetData>
    <row r="3" spans="2:6" ht="43.2" x14ac:dyDescent="0.3">
      <c r="B3" s="167"/>
      <c r="C3" s="176" t="s">
        <v>740</v>
      </c>
      <c r="D3" s="176" t="s">
        <v>738</v>
      </c>
      <c r="E3" s="176" t="s">
        <v>739</v>
      </c>
      <c r="F3" s="176" t="s">
        <v>531</v>
      </c>
    </row>
    <row r="4" spans="2:6" x14ac:dyDescent="0.3">
      <c r="B4" s="166" t="s">
        <v>743</v>
      </c>
      <c r="C4" s="2" t="s">
        <v>746</v>
      </c>
      <c r="D4" s="2" t="s">
        <v>750</v>
      </c>
      <c r="E4" s="2" t="s">
        <v>751</v>
      </c>
      <c r="F4" s="2" t="s">
        <v>767</v>
      </c>
    </row>
    <row r="5" spans="2:6" x14ac:dyDescent="0.3">
      <c r="B5" s="166" t="s">
        <v>745</v>
      </c>
      <c r="C5" s="2" t="s">
        <v>753</v>
      </c>
      <c r="D5" s="2" t="s">
        <v>754</v>
      </c>
      <c r="E5" s="2" t="s">
        <v>752</v>
      </c>
      <c r="F5" s="2" t="s">
        <v>765</v>
      </c>
    </row>
    <row r="6" spans="2:6" x14ac:dyDescent="0.3">
      <c r="B6" s="166" t="s">
        <v>756</v>
      </c>
      <c r="C6" s="2" t="s">
        <v>759</v>
      </c>
      <c r="D6" s="2" t="s">
        <v>757</v>
      </c>
      <c r="E6" s="2" t="s">
        <v>758</v>
      </c>
      <c r="F6" s="2" t="s">
        <v>766</v>
      </c>
    </row>
    <row r="7" spans="2:6" x14ac:dyDescent="0.3">
      <c r="B7" s="166" t="s">
        <v>755</v>
      </c>
      <c r="C7" s="166">
        <v>660</v>
      </c>
      <c r="D7" s="166">
        <v>330</v>
      </c>
      <c r="E7" s="166">
        <v>165</v>
      </c>
      <c r="F7" s="166">
        <v>165</v>
      </c>
    </row>
    <row r="8" spans="2:6" x14ac:dyDescent="0.3">
      <c r="B8" s="166" t="s">
        <v>760</v>
      </c>
      <c r="C8" s="166">
        <v>1100</v>
      </c>
      <c r="D8" s="166">
        <v>99</v>
      </c>
      <c r="E8" s="166">
        <v>9</v>
      </c>
      <c r="F8" s="166">
        <v>1</v>
      </c>
    </row>
    <row r="9" spans="2:6" x14ac:dyDescent="0.3">
      <c r="B9" s="166" t="s">
        <v>761</v>
      </c>
      <c r="C9" s="166">
        <v>54</v>
      </c>
      <c r="D9" s="166">
        <v>1</v>
      </c>
      <c r="E9" s="166">
        <v>0.03</v>
      </c>
      <c r="F9" s="166">
        <v>2E-3</v>
      </c>
    </row>
    <row r="10" spans="2:6" x14ac:dyDescent="0.3">
      <c r="B10" s="166"/>
      <c r="C10" s="166"/>
      <c r="D10" s="166"/>
      <c r="E10" s="166"/>
      <c r="F10" s="166"/>
    </row>
    <row r="11" spans="2:6" x14ac:dyDescent="0.3">
      <c r="B11" s="166" t="s">
        <v>744</v>
      </c>
      <c r="C11" s="2" t="s">
        <v>747</v>
      </c>
      <c r="D11" s="2" t="s">
        <v>749</v>
      </c>
      <c r="E11" s="2" t="s">
        <v>748</v>
      </c>
      <c r="F11" s="2">
        <v>9</v>
      </c>
    </row>
    <row r="12" spans="2:6" x14ac:dyDescent="0.3">
      <c r="B12" s="166" t="s">
        <v>82</v>
      </c>
      <c r="C12" s="166">
        <v>5</v>
      </c>
      <c r="D12" s="166">
        <v>4</v>
      </c>
      <c r="E12" s="166">
        <v>3</v>
      </c>
      <c r="F12" s="166">
        <v>2</v>
      </c>
    </row>
    <row r="13" spans="2:6" x14ac:dyDescent="0.3">
      <c r="B13" s="166" t="s">
        <v>742</v>
      </c>
      <c r="C13" s="166">
        <v>1100</v>
      </c>
      <c r="D13" s="166">
        <v>99</v>
      </c>
      <c r="E13" s="166">
        <v>9</v>
      </c>
      <c r="F13" s="166">
        <v>0.9</v>
      </c>
    </row>
    <row r="14" spans="2:6" x14ac:dyDescent="0.3">
      <c r="B14" s="166" t="s">
        <v>92</v>
      </c>
      <c r="C14" s="166">
        <v>5449</v>
      </c>
      <c r="D14" s="166">
        <v>54.5</v>
      </c>
      <c r="E14" s="166">
        <v>5.4</v>
      </c>
      <c r="F14" s="166">
        <v>0.5</v>
      </c>
    </row>
    <row r="15" spans="2:6" s="166" customFormat="1" x14ac:dyDescent="0.3"/>
    <row r="16" spans="2:6" ht="43.2" x14ac:dyDescent="0.3">
      <c r="C16" s="176" t="s">
        <v>740</v>
      </c>
      <c r="D16" s="176" t="s">
        <v>738</v>
      </c>
      <c r="E16" s="176" t="s">
        <v>739</v>
      </c>
      <c r="F16" s="176" t="s">
        <v>531</v>
      </c>
    </row>
    <row r="17" spans="2:15" x14ac:dyDescent="0.3">
      <c r="B17" s="174" t="s">
        <v>799</v>
      </c>
      <c r="C17" s="175">
        <v>1954711323.0312002</v>
      </c>
      <c r="D17" s="175">
        <v>54352517.295680001</v>
      </c>
      <c r="E17" s="175">
        <v>4964519.1293120002</v>
      </c>
      <c r="F17" s="175">
        <v>784821.68576000002</v>
      </c>
    </row>
    <row r="18" spans="2:15" x14ac:dyDescent="0.3">
      <c r="B18" s="166"/>
      <c r="C18" s="166"/>
      <c r="D18" s="166"/>
      <c r="E18" s="166"/>
      <c r="F18" s="101"/>
    </row>
    <row r="19" spans="2:15" x14ac:dyDescent="0.3">
      <c r="B19" s="166" t="s">
        <v>768</v>
      </c>
      <c r="C19" s="101">
        <v>349110000</v>
      </c>
      <c r="D19" s="101">
        <v>6465000</v>
      </c>
      <c r="E19" s="101">
        <v>193949.99999999997</v>
      </c>
      <c r="F19" s="101">
        <v>12930</v>
      </c>
    </row>
    <row r="20" spans="2:15" x14ac:dyDescent="0.3">
      <c r="B20" s="166" t="s">
        <v>769</v>
      </c>
      <c r="C20" s="101">
        <v>6360650</v>
      </c>
      <c r="D20" s="101">
        <v>322130</v>
      </c>
      <c r="E20" s="101">
        <v>45819.5</v>
      </c>
      <c r="F20" s="101">
        <v>4581.9500000000007</v>
      </c>
    </row>
    <row r="21" spans="2:15" x14ac:dyDescent="0.3">
      <c r="B21" s="8" t="s">
        <v>770</v>
      </c>
      <c r="C21" s="170">
        <v>164100000</v>
      </c>
      <c r="D21" s="170">
        <v>18020000</v>
      </c>
      <c r="E21" s="170">
        <v>1943000</v>
      </c>
      <c r="F21" s="170">
        <v>355800</v>
      </c>
    </row>
    <row r="22" spans="2:15" x14ac:dyDescent="0.3">
      <c r="B22" s="146" t="s">
        <v>773</v>
      </c>
      <c r="C22" s="171">
        <v>519570650</v>
      </c>
      <c r="D22" s="171">
        <v>24807130</v>
      </c>
      <c r="E22" s="171">
        <v>2182769.5</v>
      </c>
      <c r="F22" s="171">
        <v>373311.95</v>
      </c>
    </row>
    <row r="23" spans="2:15" x14ac:dyDescent="0.3">
      <c r="B23" s="166"/>
      <c r="C23" s="101"/>
      <c r="D23" s="101"/>
      <c r="E23" s="101"/>
      <c r="F23" s="101"/>
    </row>
    <row r="24" spans="2:15" x14ac:dyDescent="0.3">
      <c r="B24" s="166"/>
      <c r="C24" s="166"/>
      <c r="D24" s="166"/>
      <c r="E24" s="166"/>
      <c r="F24" s="166"/>
    </row>
    <row r="25" spans="2:15" x14ac:dyDescent="0.3">
      <c r="B25" s="166" t="s">
        <v>771</v>
      </c>
      <c r="C25" s="101">
        <v>1237680023.0312002</v>
      </c>
      <c r="D25" s="101">
        <v>9903257.2956800014</v>
      </c>
      <c r="E25" s="101">
        <v>735930.12931200024</v>
      </c>
      <c r="F25" s="101">
        <v>45427.785759999999</v>
      </c>
    </row>
    <row r="26" spans="2:15" x14ac:dyDescent="0.3">
      <c r="B26" s="166" t="s">
        <v>772</v>
      </c>
      <c r="C26" s="101">
        <v>33360650</v>
      </c>
      <c r="D26" s="101">
        <v>1622130</v>
      </c>
      <c r="E26" s="101">
        <v>102819.5</v>
      </c>
      <c r="F26" s="101">
        <v>10281.950000000001</v>
      </c>
      <c r="G26" s="156"/>
      <c r="H26" s="156"/>
      <c r="I26" s="156"/>
      <c r="J26" s="156"/>
      <c r="K26" s="156" t="s">
        <v>1069</v>
      </c>
    </row>
    <row r="27" spans="2:15" x14ac:dyDescent="0.3">
      <c r="B27" s="8" t="s">
        <v>813</v>
      </c>
      <c r="C27" s="170">
        <v>164100000</v>
      </c>
      <c r="D27" s="170">
        <v>18020000</v>
      </c>
      <c r="E27" s="170">
        <v>1943000</v>
      </c>
      <c r="F27" s="170">
        <v>355800</v>
      </c>
      <c r="G27" s="156">
        <f>(C25+C19)/C17</f>
        <v>0.81177716849286019</v>
      </c>
      <c r="H27" s="156">
        <f>(D25+D19)/D17</f>
        <v>0.30114993950760344</v>
      </c>
      <c r="I27" s="156">
        <f t="shared" ref="I27:J27" si="0">(E25+E19)/E17</f>
        <v>0.18730517600822824</v>
      </c>
      <c r="J27" s="156">
        <f t="shared" si="0"/>
        <v>7.4358018921824143E-2</v>
      </c>
      <c r="K27" s="156" t="s">
        <v>814</v>
      </c>
    </row>
    <row r="28" spans="2:15" x14ac:dyDescent="0.3">
      <c r="B28" s="146" t="s">
        <v>774</v>
      </c>
      <c r="C28" s="171">
        <v>1435140673.0312002</v>
      </c>
      <c r="D28" s="171">
        <v>29545387.295680001</v>
      </c>
      <c r="E28" s="171">
        <v>2781749.6293120002</v>
      </c>
      <c r="F28" s="171">
        <v>411509.73576000001</v>
      </c>
      <c r="G28" s="156">
        <f>(C20+C26)/C17</f>
        <v>2.0320801098345092E-2</v>
      </c>
      <c r="H28" s="156">
        <f t="shared" ref="H28:J28" si="1">(D20+D26)/D17</f>
        <v>3.5771296284643872E-2</v>
      </c>
      <c r="I28" s="156">
        <f t="shared" si="1"/>
        <v>2.9940261307966579E-2</v>
      </c>
      <c r="J28" s="156">
        <f t="shared" si="1"/>
        <v>1.8939206535311528E-2</v>
      </c>
      <c r="K28" s="156" t="s">
        <v>815</v>
      </c>
      <c r="L28" s="361" t="s">
        <v>1070</v>
      </c>
      <c r="M28" s="361"/>
      <c r="N28" s="361"/>
      <c r="O28" s="361"/>
    </row>
    <row r="29" spans="2:15" x14ac:dyDescent="0.3">
      <c r="B29" s="173"/>
      <c r="C29" s="173"/>
      <c r="D29" s="173"/>
      <c r="E29" s="173"/>
      <c r="F29" s="173"/>
      <c r="G29" s="156">
        <f>(C21+C27)/C17</f>
        <v>0.16790203040879476</v>
      </c>
      <c r="H29" s="156">
        <f t="shared" ref="H29:J29" si="2">(D21+D27)/D17</f>
        <v>0.66307876420775269</v>
      </c>
      <c r="I29" s="156">
        <f t="shared" si="2"/>
        <v>0.78275456268380517</v>
      </c>
      <c r="J29" s="156">
        <f t="shared" si="2"/>
        <v>0.9067027745428643</v>
      </c>
      <c r="K29" s="156" t="s">
        <v>816</v>
      </c>
      <c r="L29" s="361">
        <f>C28/C17</f>
        <v>0.73419571274888096</v>
      </c>
      <c r="M29" s="361">
        <f t="shared" ref="M29:O29" si="3">D28/D17</f>
        <v>0.54358820466312241</v>
      </c>
      <c r="N29" s="361">
        <f t="shared" si="3"/>
        <v>0.56032609742355943</v>
      </c>
      <c r="O29" s="361">
        <f t="shared" si="3"/>
        <v>0.52433532766300306</v>
      </c>
    </row>
    <row r="30" spans="2:15" x14ac:dyDescent="0.3">
      <c r="B30" s="86" t="s">
        <v>1008</v>
      </c>
      <c r="C30" s="166"/>
      <c r="D30" s="166"/>
      <c r="E30" s="166"/>
      <c r="F30" s="166"/>
      <c r="G30" s="362" t="s">
        <v>1071</v>
      </c>
      <c r="H30" s="362"/>
      <c r="I30" s="362"/>
      <c r="J30" s="362"/>
    </row>
    <row r="31" spans="2:15" x14ac:dyDescent="0.3">
      <c r="B31" s="166" t="s">
        <v>973</v>
      </c>
      <c r="C31" s="101">
        <v>311444103.94578141</v>
      </c>
      <c r="D31" s="101">
        <v>9722632.6867067832</v>
      </c>
      <c r="E31" s="101">
        <v>1018533.0937624264</v>
      </c>
      <c r="F31" s="101">
        <v>164394.282027646</v>
      </c>
      <c r="G31" s="362">
        <f>C31/C17</f>
        <v>0.15932997383103115</v>
      </c>
      <c r="H31" s="362">
        <f t="shared" ref="H31:J31" si="4">D31/D17</f>
        <v>0.17888100074215971</v>
      </c>
      <c r="I31" s="362">
        <f t="shared" si="4"/>
        <v>0.20516248749021904</v>
      </c>
      <c r="J31" s="362">
        <f t="shared" si="4"/>
        <v>0.20946704838877003</v>
      </c>
    </row>
    <row r="32" spans="2:15" x14ac:dyDescent="0.3">
      <c r="B32" s="166" t="s">
        <v>796</v>
      </c>
      <c r="C32" s="101">
        <v>175068771.18765202</v>
      </c>
      <c r="D32" s="101">
        <v>5653984.0077593606</v>
      </c>
      <c r="E32" s="101">
        <v>603397.67966537597</v>
      </c>
      <c r="F32" s="101">
        <v>98205.393331040003</v>
      </c>
      <c r="G32" s="362">
        <f>C32/C17</f>
        <v>8.9562468444788185E-2</v>
      </c>
      <c r="H32" s="362">
        <f t="shared" ref="H32:J32" si="5">D32/D17</f>
        <v>0.10402432654593434</v>
      </c>
      <c r="I32" s="362">
        <f t="shared" si="5"/>
        <v>0.12154201926682813</v>
      </c>
      <c r="J32" s="362">
        <f t="shared" si="5"/>
        <v>0.1251308355934897</v>
      </c>
    </row>
    <row r="33" spans="2:10" x14ac:dyDescent="0.3">
      <c r="B33" s="166" t="s">
        <v>797</v>
      </c>
      <c r="C33" s="101">
        <v>77796174.442601413</v>
      </c>
      <c r="D33" s="101">
        <v>2573565.1241095038</v>
      </c>
      <c r="E33" s="101">
        <v>278362.46749179077</v>
      </c>
      <c r="F33" s="101">
        <v>45558.838379650988</v>
      </c>
      <c r="G33" s="362">
        <f>C33/C17</f>
        <v>3.9799316413618412E-2</v>
      </c>
      <c r="H33" s="362">
        <f t="shared" ref="H33:J33" si="6">D33/D17</f>
        <v>4.734951115712268E-2</v>
      </c>
      <c r="I33" s="362">
        <f t="shared" si="6"/>
        <v>5.6070378669357081E-2</v>
      </c>
      <c r="J33" s="362">
        <f t="shared" si="6"/>
        <v>5.804992293954396E-2</v>
      </c>
    </row>
    <row r="34" spans="2:10" x14ac:dyDescent="0.3">
      <c r="B34" s="166" t="s">
        <v>798</v>
      </c>
      <c r="C34" s="101">
        <v>17481361.811366003</v>
      </c>
      <c r="D34" s="101">
        <v>565902.63705645106</v>
      </c>
      <c r="E34" s="101">
        <v>59839.737272370949</v>
      </c>
      <c r="F34" s="101">
        <v>9823.3768276900664</v>
      </c>
      <c r="G34" s="362">
        <f>C34/C17</f>
        <v>8.9431936088943259E-3</v>
      </c>
      <c r="H34" s="362">
        <f t="shared" ref="H34:J34" si="7">D34/D17</f>
        <v>1.0411709801367923E-2</v>
      </c>
      <c r="I34" s="362">
        <f t="shared" si="7"/>
        <v>1.2053481055004766E-2</v>
      </c>
      <c r="J34" s="362">
        <f t="shared" si="7"/>
        <v>1.2516699023393288E-2</v>
      </c>
    </row>
    <row r="35" spans="2:10" x14ac:dyDescent="0.3">
      <c r="B35" s="86" t="s">
        <v>1009</v>
      </c>
      <c r="C35" s="101"/>
      <c r="D35" s="101"/>
      <c r="E35" s="101"/>
      <c r="F35" s="101"/>
      <c r="G35" s="363" t="s">
        <v>1072</v>
      </c>
      <c r="H35" s="363"/>
      <c r="I35" s="363"/>
      <c r="J35" s="363"/>
    </row>
    <row r="36" spans="2:10" x14ac:dyDescent="0.3">
      <c r="B36" s="166" t="s">
        <v>975</v>
      </c>
      <c r="C36" s="101">
        <v>189235525.3060157</v>
      </c>
      <c r="D36" s="101">
        <v>5654650.9128533918</v>
      </c>
      <c r="E36" s="101">
        <v>548640.51304996316</v>
      </c>
      <c r="F36" s="101">
        <v>85356.694945698007</v>
      </c>
      <c r="G36" s="363">
        <f>C36/(C22+0.5*C28)</f>
        <v>0.15296197229629935</v>
      </c>
      <c r="H36" s="363">
        <f t="shared" ref="H36:J36" si="8">D36/(D22+0.5*D28)</f>
        <v>0.1428670062596902</v>
      </c>
      <c r="I36" s="363">
        <f t="shared" si="8"/>
        <v>0.15352409606068348</v>
      </c>
      <c r="J36" s="363">
        <f t="shared" si="8"/>
        <v>0.14740387863734661</v>
      </c>
    </row>
    <row r="37" spans="2:10" x14ac:dyDescent="0.3">
      <c r="B37" s="166" t="s">
        <v>800</v>
      </c>
      <c r="C37" s="101">
        <v>107031900.20882602</v>
      </c>
      <c r="D37" s="101">
        <v>3305840.2856796803</v>
      </c>
      <c r="E37" s="101">
        <v>325983.81671268801</v>
      </c>
      <c r="F37" s="101">
        <v>51087.023149519999</v>
      </c>
      <c r="G37" s="363">
        <f>C37/(C22+0.5*C28)</f>
        <v>8.651552359467185E-2</v>
      </c>
      <c r="H37" s="363">
        <f t="shared" ref="H37:J37" si="9">D37/(D22+0.5*D28)</f>
        <v>8.3523370773282632E-2</v>
      </c>
      <c r="I37" s="363">
        <f t="shared" si="9"/>
        <v>9.121887574982887E-2</v>
      </c>
      <c r="J37" s="363">
        <f t="shared" si="9"/>
        <v>8.8223019472179046E-2</v>
      </c>
    </row>
    <row r="38" spans="2:10" x14ac:dyDescent="0.3">
      <c r="B38" s="166" t="s">
        <v>801</v>
      </c>
      <c r="C38" s="101">
        <v>47963781.286433205</v>
      </c>
      <c r="D38" s="101">
        <v>1515544.8131623515</v>
      </c>
      <c r="E38" s="101">
        <v>150992.47292293038</v>
      </c>
      <c r="F38" s="101">
        <v>23774.077022500995</v>
      </c>
      <c r="G38" s="363">
        <f>C38/(C22+0.5*C28)</f>
        <v>3.8769858738188681E-2</v>
      </c>
      <c r="H38" s="363">
        <f t="shared" ref="H38:J38" si="10">D38/(D22+0.5*D28)</f>
        <v>3.8290842997352761E-2</v>
      </c>
      <c r="I38" s="363">
        <f t="shared" si="10"/>
        <v>4.2251679134291502E-2</v>
      </c>
      <c r="J38" s="363">
        <f t="shared" si="10"/>
        <v>4.1055844141681931E-2</v>
      </c>
    </row>
    <row r="39" spans="2:10" x14ac:dyDescent="0.3">
      <c r="B39" s="166" t="s">
        <v>802</v>
      </c>
      <c r="C39" s="101">
        <v>10077136.187604053</v>
      </c>
      <c r="D39" s="101">
        <v>315928.21453248954</v>
      </c>
      <c r="E39" s="101">
        <v>31811.290470065374</v>
      </c>
      <c r="F39" s="101">
        <v>5105.9216082531038</v>
      </c>
      <c r="G39" s="363">
        <f>C39/(C22+0.5*C28)</f>
        <v>8.145503461158653E-3</v>
      </c>
      <c r="H39" s="363">
        <f t="shared" ref="H39:J39" si="11">D39/(D22+0.5*D28)</f>
        <v>7.9820521016831462E-3</v>
      </c>
      <c r="I39" s="363">
        <f t="shared" si="11"/>
        <v>8.901638682843438E-3</v>
      </c>
      <c r="J39" s="363">
        <f t="shared" si="11"/>
        <v>8.8174998991415246E-3</v>
      </c>
    </row>
    <row r="40" spans="2:10" x14ac:dyDescent="0.3">
      <c r="B40" s="86" t="s">
        <v>1010</v>
      </c>
      <c r="C40" s="101"/>
      <c r="D40" s="101"/>
      <c r="E40" s="101"/>
      <c r="F40" s="101"/>
      <c r="G40" s="364" t="s">
        <v>1073</v>
      </c>
      <c r="H40" s="364"/>
      <c r="I40" s="364"/>
      <c r="J40" s="364"/>
    </row>
    <row r="41" spans="2:10" x14ac:dyDescent="0.3">
      <c r="B41" s="166" t="s">
        <v>976</v>
      </c>
      <c r="C41" s="101">
        <v>122208578.63976571</v>
      </c>
      <c r="D41" s="101">
        <v>4067981.7738533919</v>
      </c>
      <c r="E41" s="101">
        <v>469892.58071246318</v>
      </c>
      <c r="F41" s="101">
        <v>79037.587081948004</v>
      </c>
      <c r="G41" s="364">
        <f>C41/C22</f>
        <v>0.2352107045302996</v>
      </c>
      <c r="H41" s="364">
        <f t="shared" ref="H41:J41" si="12">D41/D22</f>
        <v>0.16398437763068086</v>
      </c>
      <c r="I41" s="364">
        <f t="shared" si="12"/>
        <v>0.21527356906556702</v>
      </c>
      <c r="J41" s="364">
        <f t="shared" si="12"/>
        <v>0.21171994917909273</v>
      </c>
    </row>
    <row r="42" spans="2:10" x14ac:dyDescent="0.3">
      <c r="B42" s="166" t="s">
        <v>806</v>
      </c>
      <c r="C42" s="101">
        <v>68036870.978826016</v>
      </c>
      <c r="D42" s="101">
        <v>2348143.7220796803</v>
      </c>
      <c r="E42" s="101">
        <v>277413.86295268801</v>
      </c>
      <c r="F42" s="101">
        <v>47118.370181520004</v>
      </c>
      <c r="G42" s="364">
        <f>C42/C22</f>
        <v>0.1309482569479743</v>
      </c>
      <c r="H42" s="364">
        <f t="shared" ref="H42:J42" si="13">D42/D22</f>
        <v>9.4656000999699702E-2</v>
      </c>
      <c r="I42" s="364">
        <f t="shared" si="13"/>
        <v>0.12709260549622303</v>
      </c>
      <c r="J42" s="364">
        <f t="shared" si="13"/>
        <v>0.12621714944169349</v>
      </c>
    </row>
    <row r="43" spans="2:10" x14ac:dyDescent="0.3">
      <c r="B43" s="166" t="s">
        <v>807</v>
      </c>
      <c r="C43" s="101">
        <v>29832393.156168208</v>
      </c>
      <c r="D43" s="101">
        <v>1058020.3109471519</v>
      </c>
      <c r="E43" s="101">
        <v>127369.99456886038</v>
      </c>
      <c r="F43" s="101">
        <v>21784.761357149997</v>
      </c>
      <c r="G43" s="364">
        <f>C43/C22</f>
        <v>5.7417394835848033E-2</v>
      </c>
      <c r="H43" s="364">
        <f t="shared" ref="H43:J43" si="14">D43/D22</f>
        <v>4.26498474812343E-2</v>
      </c>
      <c r="I43" s="364">
        <f t="shared" si="14"/>
        <v>5.8352471284237928E-2</v>
      </c>
      <c r="J43" s="364">
        <f t="shared" si="14"/>
        <v>5.8355381758205156E-2</v>
      </c>
    </row>
    <row r="44" spans="2:10" x14ac:dyDescent="0.3">
      <c r="B44" s="166" t="s">
        <v>808</v>
      </c>
      <c r="C44" s="101">
        <v>7404225.6237619501</v>
      </c>
      <c r="D44" s="101">
        <v>249974.42252396149</v>
      </c>
      <c r="E44" s="101">
        <v>28028.446802305574</v>
      </c>
      <c r="F44" s="101">
        <v>4717.4552194369635</v>
      </c>
      <c r="G44" s="364">
        <f>C44/C22</f>
        <v>1.4250661818102986E-2</v>
      </c>
      <c r="H44" s="364">
        <f t="shared" ref="H44:J44" si="15">D44/D22</f>
        <v>1.0076716755382888E-2</v>
      </c>
      <c r="I44" s="364">
        <f t="shared" si="15"/>
        <v>1.2840772606684111E-2</v>
      </c>
      <c r="J44" s="364">
        <f t="shared" si="15"/>
        <v>1.2636764559604812E-2</v>
      </c>
    </row>
    <row r="45" spans="2:10" x14ac:dyDescent="0.3">
      <c r="B45" s="86"/>
      <c r="C45" s="166"/>
      <c r="D45" s="166"/>
      <c r="E45" s="166"/>
      <c r="F45" s="166"/>
    </row>
    <row r="46" spans="2:10" x14ac:dyDescent="0.3">
      <c r="B46" s="166"/>
      <c r="C46" s="101"/>
      <c r="D46" s="101"/>
      <c r="E46" s="101"/>
      <c r="F46" s="101"/>
    </row>
    <row r="48" spans="2:10" s="166" customFormat="1" x14ac:dyDescent="0.3">
      <c r="B48" s="86" t="s">
        <v>818</v>
      </c>
    </row>
    <row r="49" spans="2:11" ht="72" x14ac:dyDescent="0.3">
      <c r="C49" s="176" t="s">
        <v>775</v>
      </c>
      <c r="D49" s="176" t="s">
        <v>812</v>
      </c>
      <c r="E49" s="176" t="s">
        <v>776</v>
      </c>
      <c r="F49" s="176" t="s">
        <v>777</v>
      </c>
    </row>
    <row r="50" spans="2:11" x14ac:dyDescent="0.3">
      <c r="B50" s="166" t="s">
        <v>743</v>
      </c>
      <c r="C50" s="2" t="s">
        <v>746</v>
      </c>
      <c r="D50" s="2" t="s">
        <v>750</v>
      </c>
      <c r="E50" s="2" t="s">
        <v>751</v>
      </c>
      <c r="F50" s="2" t="s">
        <v>767</v>
      </c>
      <c r="G50" s="103" t="s">
        <v>819</v>
      </c>
    </row>
    <row r="51" spans="2:11" x14ac:dyDescent="0.3">
      <c r="B51" s="166" t="s">
        <v>745</v>
      </c>
      <c r="C51" s="2" t="s">
        <v>753</v>
      </c>
      <c r="D51" s="2" t="s">
        <v>754</v>
      </c>
      <c r="E51" s="2" t="s">
        <v>752</v>
      </c>
      <c r="F51" s="2" t="s">
        <v>765</v>
      </c>
    </row>
    <row r="52" spans="2:11" x14ac:dyDescent="0.3">
      <c r="B52" s="166" t="s">
        <v>756</v>
      </c>
      <c r="C52" s="2" t="s">
        <v>759</v>
      </c>
      <c r="D52" s="2" t="s">
        <v>757</v>
      </c>
      <c r="E52" s="2" t="s">
        <v>758</v>
      </c>
      <c r="F52" s="2" t="s">
        <v>766</v>
      </c>
    </row>
    <row r="53" spans="2:11" x14ac:dyDescent="0.3">
      <c r="B53" s="166" t="s">
        <v>755</v>
      </c>
      <c r="C53" s="166">
        <v>660</v>
      </c>
      <c r="D53" s="166">
        <v>330</v>
      </c>
      <c r="E53" s="166">
        <v>165</v>
      </c>
      <c r="F53" s="166">
        <v>165</v>
      </c>
    </row>
    <row r="54" spans="2:11" x14ac:dyDescent="0.3">
      <c r="B54" s="166" t="s">
        <v>760</v>
      </c>
      <c r="C54" s="166">
        <v>1100</v>
      </c>
      <c r="D54" s="166">
        <v>99</v>
      </c>
      <c r="E54" s="166">
        <v>9</v>
      </c>
      <c r="F54" s="166">
        <v>1</v>
      </c>
    </row>
    <row r="55" spans="2:11" x14ac:dyDescent="0.3">
      <c r="B55" s="166" t="s">
        <v>761</v>
      </c>
      <c r="C55" s="166">
        <v>59</v>
      </c>
      <c r="D55" s="166">
        <v>6</v>
      </c>
      <c r="E55" s="166">
        <v>5.03</v>
      </c>
      <c r="F55" s="166">
        <v>5.0019999999999998</v>
      </c>
      <c r="G55" t="s">
        <v>820</v>
      </c>
    </row>
    <row r="56" spans="2:11" x14ac:dyDescent="0.3">
      <c r="B56" s="166"/>
      <c r="C56" s="166"/>
      <c r="D56" s="166"/>
      <c r="E56" s="166"/>
      <c r="F56" s="166"/>
    </row>
    <row r="57" spans="2:11" x14ac:dyDescent="0.3">
      <c r="C57" s="166"/>
      <c r="D57" s="166"/>
      <c r="E57" s="166"/>
      <c r="F57" s="166"/>
      <c r="H57" s="156" t="s">
        <v>1068</v>
      </c>
      <c r="I57" s="156"/>
      <c r="J57" s="156"/>
      <c r="K57" s="156"/>
    </row>
    <row r="58" spans="2:11" x14ac:dyDescent="0.3">
      <c r="B58" s="166" t="s">
        <v>909</v>
      </c>
      <c r="C58" s="101">
        <v>381435000</v>
      </c>
      <c r="D58" s="101">
        <v>38790000</v>
      </c>
      <c r="E58" s="101">
        <v>32518950.000000004</v>
      </c>
      <c r="F58" s="101">
        <v>32337930</v>
      </c>
      <c r="H58" s="156">
        <f>C58/$C$61</f>
        <v>0.8885774644133444</v>
      </c>
      <c r="I58" s="156">
        <f>D58/$D$61</f>
        <v>0.88707558047227908</v>
      </c>
      <c r="J58" s="156">
        <f>E58/$E$61</f>
        <v>0.9841268686753506</v>
      </c>
      <c r="K58" s="156">
        <f>F58/$F$61</f>
        <v>0.99708808495629386</v>
      </c>
    </row>
    <row r="59" spans="2:11" x14ac:dyDescent="0.3">
      <c r="B59" s="166" t="s">
        <v>910</v>
      </c>
      <c r="C59" s="101">
        <v>5163769</v>
      </c>
      <c r="D59" s="101">
        <v>252753.8</v>
      </c>
      <c r="E59" s="101">
        <v>19323.07</v>
      </c>
      <c r="F59" s="101">
        <v>1932.307</v>
      </c>
      <c r="H59" s="156">
        <f t="shared" ref="H59:H60" si="16">C59/$C$61</f>
        <v>1.2029333346012376E-2</v>
      </c>
      <c r="I59" s="156">
        <f t="shared" ref="I59:I60" si="17">D59/$D$61</f>
        <v>5.7801424040106811E-3</v>
      </c>
      <c r="J59" s="156">
        <f t="shared" ref="J59:J60" si="18">E59/$E$61</f>
        <v>5.8477756422930637E-4</v>
      </c>
      <c r="K59" s="156">
        <f t="shared" ref="K59:K60" si="19">F59/$F$61</f>
        <v>5.957957996005438E-5</v>
      </c>
    </row>
    <row r="60" spans="2:11" x14ac:dyDescent="0.3">
      <c r="B60" s="8" t="s">
        <v>911</v>
      </c>
      <c r="C60" s="170">
        <v>42666000</v>
      </c>
      <c r="D60" s="170">
        <v>4685200</v>
      </c>
      <c r="E60" s="170">
        <v>505180</v>
      </c>
      <c r="F60" s="170">
        <v>92508</v>
      </c>
      <c r="H60" s="156">
        <f t="shared" si="16"/>
        <v>9.9393202240643228E-2</v>
      </c>
      <c r="I60" s="156">
        <f t="shared" si="17"/>
        <v>0.10714427712371029</v>
      </c>
      <c r="J60" s="156">
        <f t="shared" si="18"/>
        <v>1.528835376042011E-2</v>
      </c>
      <c r="K60" s="156">
        <f t="shared" si="19"/>
        <v>2.8523354637460356E-3</v>
      </c>
    </row>
    <row r="61" spans="2:11" x14ac:dyDescent="0.3">
      <c r="B61" s="146" t="s">
        <v>817</v>
      </c>
      <c r="C61" s="171">
        <v>429264769</v>
      </c>
      <c r="D61" s="171">
        <v>43727953.799999997</v>
      </c>
      <c r="E61" s="171">
        <v>33043453.070000004</v>
      </c>
      <c r="F61" s="171">
        <v>32432370.307</v>
      </c>
    </row>
    <row r="67" spans="2:38" x14ac:dyDescent="0.3">
      <c r="I67" s="217"/>
      <c r="J67" s="86" t="s">
        <v>836</v>
      </c>
    </row>
    <row r="68" spans="2:38" x14ac:dyDescent="0.3">
      <c r="I68" s="217" t="s">
        <v>1012</v>
      </c>
      <c r="J68" s="86" t="s">
        <v>1013</v>
      </c>
    </row>
    <row r="69" spans="2:38" x14ac:dyDescent="0.3">
      <c r="I69" s="186" t="s">
        <v>983</v>
      </c>
      <c r="J69" s="175">
        <v>311444103.94578141</v>
      </c>
      <c r="K69" s="175">
        <v>9722632.6867067832</v>
      </c>
      <c r="L69" s="175">
        <v>1018533.0937624264</v>
      </c>
      <c r="M69" s="175">
        <v>164394.282027646</v>
      </c>
    </row>
    <row r="70" spans="2:38" x14ac:dyDescent="0.3">
      <c r="I70" s="186" t="s">
        <v>833</v>
      </c>
      <c r="J70" s="175">
        <v>175068771.18765202</v>
      </c>
      <c r="K70" s="175">
        <v>5653984.0077593606</v>
      </c>
      <c r="L70" s="175">
        <v>603397.67966537597</v>
      </c>
      <c r="M70" s="175">
        <v>98205.393331040003</v>
      </c>
      <c r="T70" t="s">
        <v>989</v>
      </c>
      <c r="Y70">
        <v>4633</v>
      </c>
      <c r="AD70" t="s">
        <v>1037</v>
      </c>
    </row>
    <row r="71" spans="2:38" x14ac:dyDescent="0.3">
      <c r="E71" s="255" t="s">
        <v>832</v>
      </c>
      <c r="F71" s="255"/>
      <c r="G71" s="255"/>
      <c r="H71" s="255"/>
      <c r="I71" s="186" t="s">
        <v>834</v>
      </c>
      <c r="J71" s="175">
        <v>77796174.442601413</v>
      </c>
      <c r="K71" s="175">
        <v>2573565.1241095038</v>
      </c>
      <c r="L71" s="175">
        <v>278362.46749179077</v>
      </c>
      <c r="M71" s="175">
        <v>45558.838379650988</v>
      </c>
      <c r="O71" s="86" t="s">
        <v>836</v>
      </c>
      <c r="T71" s="86" t="s">
        <v>912</v>
      </c>
      <c r="AD71" t="s">
        <v>1016</v>
      </c>
      <c r="AI71" s="217" t="s">
        <v>1017</v>
      </c>
      <c r="AJ71" s="217"/>
      <c r="AK71" s="217"/>
      <c r="AL71" s="217"/>
    </row>
    <row r="72" spans="2:38" x14ac:dyDescent="0.3">
      <c r="E72" s="175">
        <v>1954711323.0312002</v>
      </c>
      <c r="F72" s="175">
        <v>54352517.295680001</v>
      </c>
      <c r="G72" s="175">
        <v>4964519.1293120002</v>
      </c>
      <c r="H72" s="175">
        <v>784821.68576000002</v>
      </c>
      <c r="I72" s="186" t="s">
        <v>835</v>
      </c>
      <c r="J72" s="175">
        <v>17481361.811366003</v>
      </c>
      <c r="K72" s="175">
        <v>565902.63705645106</v>
      </c>
      <c r="L72" s="175">
        <v>59839.737272370949</v>
      </c>
      <c r="M72" s="175">
        <v>9823.3768276900664</v>
      </c>
      <c r="O72" s="256" t="s">
        <v>1014</v>
      </c>
      <c r="P72" s="256"/>
      <c r="Q72" s="256"/>
      <c r="R72" s="256"/>
      <c r="T72" s="212" t="s">
        <v>944</v>
      </c>
      <c r="U72" s="212"/>
      <c r="V72" s="212"/>
      <c r="W72" s="212"/>
      <c r="X72" s="212"/>
      <c r="Y72" s="212" t="s">
        <v>943</v>
      </c>
      <c r="Z72" s="212"/>
      <c r="AA72" s="212"/>
      <c r="AB72" s="212"/>
      <c r="AC72" s="212"/>
      <c r="AD72" s="212" t="s">
        <v>947</v>
      </c>
      <c r="AE72" s="212"/>
      <c r="AF72" s="212"/>
      <c r="AG72" s="212"/>
      <c r="AI72" s="217" t="s">
        <v>947</v>
      </c>
      <c r="AJ72" s="217"/>
      <c r="AK72" s="217"/>
      <c r="AL72" s="217"/>
    </row>
    <row r="73" spans="2:38" ht="28.8" x14ac:dyDescent="0.3">
      <c r="B73" s="176" t="s">
        <v>821</v>
      </c>
      <c r="C73" s="176" t="s">
        <v>822</v>
      </c>
      <c r="D73" s="176" t="s">
        <v>823</v>
      </c>
      <c r="E73" s="181" t="s">
        <v>826</v>
      </c>
      <c r="F73" s="181" t="s">
        <v>827</v>
      </c>
      <c r="G73" s="181" t="s">
        <v>828</v>
      </c>
      <c r="H73" s="181" t="s">
        <v>829</v>
      </c>
      <c r="I73" s="189" t="s">
        <v>837</v>
      </c>
      <c r="J73" s="188" t="s">
        <v>826</v>
      </c>
      <c r="K73" s="188" t="s">
        <v>827</v>
      </c>
      <c r="L73" s="188" t="s">
        <v>828</v>
      </c>
      <c r="M73" s="188" t="s">
        <v>829</v>
      </c>
      <c r="N73" s="8"/>
      <c r="O73" s="188" t="s">
        <v>826</v>
      </c>
      <c r="P73" s="188" t="s">
        <v>827</v>
      </c>
      <c r="Q73" s="188" t="s">
        <v>828</v>
      </c>
      <c r="R73" s="188" t="s">
        <v>829</v>
      </c>
      <c r="S73" s="8"/>
      <c r="T73" s="170">
        <f>4633+101145.511195625</f>
        <v>105778.511195625</v>
      </c>
      <c r="U73" s="170">
        <f>4633+10303.399114125</f>
        <v>14936.399114125001</v>
      </c>
      <c r="V73" s="170">
        <f>4633+7785.86362961875</f>
        <v>12418.863629618751</v>
      </c>
      <c r="W73" s="170">
        <f>4633+7641.87725358688</f>
        <v>12274.877253586881</v>
      </c>
      <c r="X73" s="8"/>
      <c r="Y73" s="170">
        <f>4633+206315.379600625</f>
        <v>210948.37960062499</v>
      </c>
      <c r="Z73" s="170">
        <f>4633+21016.747795125</f>
        <v>25649.747795125</v>
      </c>
      <c r="AA73" s="170">
        <f>4633+15881.5096317688</f>
        <v>20514.5096317688</v>
      </c>
      <c r="AB73" s="170">
        <f>4633+15587.8079788019</f>
        <v>20220.807978801902</v>
      </c>
      <c r="AC73" s="8"/>
      <c r="AD73" s="170">
        <f>Y73*15+0.6*(4000000/0.905+E93+T73)</f>
        <v>5905428.6918482203</v>
      </c>
      <c r="AE73" s="170">
        <f>Z73*15+0.32*(4000000/0.905+F93+U73)</f>
        <v>1804273.1472491345</v>
      </c>
      <c r="AF73" s="170">
        <f>AA73*15+0.09*(4000000/0.905+G93+V73)</f>
        <v>706635.2271996924</v>
      </c>
      <c r="AG73" s="170">
        <f>AB73*15+0.01*(4000000/0.905+H93+W73)</f>
        <v>347633.93614295957</v>
      </c>
      <c r="AI73" s="170">
        <f>Y73*15+0.6*(1000000/0.905+E93+T73)</f>
        <v>3916478.4156051259</v>
      </c>
      <c r="AJ73" s="170">
        <f>Z73*15+0.32*(1000000/0.905+F93+U73)</f>
        <v>743499.666586151</v>
      </c>
      <c r="AK73" s="170">
        <f>AA73*15+0.09*(1000000/0.905+G93+V73)</f>
        <v>408292.68576322839</v>
      </c>
      <c r="AL73" s="170">
        <f>AB73*15+0.01*(1000000/0.905+H93+W73)</f>
        <v>314484.76487224136</v>
      </c>
    </row>
    <row r="74" spans="2:38" s="217" customFormat="1" x14ac:dyDescent="0.3">
      <c r="B74" s="225"/>
      <c r="C74" s="225"/>
      <c r="D74" s="225"/>
      <c r="E74" s="181"/>
      <c r="F74" s="181"/>
      <c r="G74" s="181"/>
      <c r="H74" s="181"/>
      <c r="I74" s="145" t="s">
        <v>976</v>
      </c>
      <c r="J74" s="235">
        <f>J69*$D$75</f>
        <v>311444103.94578141</v>
      </c>
      <c r="K74" s="235">
        <f t="shared" ref="K74:M74" si="20">K69*$D$75</f>
        <v>9722632.6867067832</v>
      </c>
      <c r="L74" s="235">
        <f t="shared" si="20"/>
        <v>1018533.0937624264</v>
      </c>
      <c r="M74" s="235">
        <f t="shared" si="20"/>
        <v>164394.282027646</v>
      </c>
      <c r="N74" s="207"/>
      <c r="O74" s="182">
        <f>E$76-J74</f>
        <v>1643267219.0854187</v>
      </c>
      <c r="P74" s="182">
        <f t="shared" ref="P74:R74" si="21">F$76-K74</f>
        <v>44629884.60897322</v>
      </c>
      <c r="Q74" s="182">
        <f t="shared" si="21"/>
        <v>3945986.0355495736</v>
      </c>
      <c r="R74" s="195">
        <f t="shared" si="21"/>
        <v>620427.40373235405</v>
      </c>
      <c r="S74" s="207"/>
      <c r="T74" s="182">
        <f>O74-T$73</f>
        <v>1643161440.574223</v>
      </c>
      <c r="U74" s="182">
        <f t="shared" ref="U74" si="22">P74-U$73</f>
        <v>44614948.209859096</v>
      </c>
      <c r="V74" s="182">
        <f t="shared" ref="V74" si="23">Q74-V$73</f>
        <v>3933567.1719199549</v>
      </c>
      <c r="W74" s="195">
        <f t="shared" ref="W74" si="24">R74-W$73</f>
        <v>608152.52647876716</v>
      </c>
      <c r="X74" s="207"/>
      <c r="Y74" s="182">
        <f>O74-Y$73</f>
        <v>1643056270.7058182</v>
      </c>
      <c r="Z74" s="182">
        <f t="shared" ref="Z74" si="25">P74-Z$73</f>
        <v>44604234.861178093</v>
      </c>
      <c r="AA74" s="182">
        <f t="shared" ref="AA74" si="26">Q74-AA$73</f>
        <v>3925471.5259178048</v>
      </c>
      <c r="AB74" s="195">
        <f t="shared" ref="AB74" si="27">R74-AB$73</f>
        <v>600206.59575355216</v>
      </c>
      <c r="AC74" s="207"/>
      <c r="AD74" s="182">
        <f>O74-AD$73</f>
        <v>1637361790.3935704</v>
      </c>
      <c r="AE74" s="182">
        <f t="shared" ref="AE74" si="28">P74-AE$73</f>
        <v>42825611.461724088</v>
      </c>
      <c r="AF74" s="182">
        <f t="shared" ref="AF74" si="29">Q74-AF$73</f>
        <v>3239350.8083498813</v>
      </c>
      <c r="AG74" s="195">
        <f t="shared" ref="AG74" si="30">R74-AG$73</f>
        <v>272793.46758939448</v>
      </c>
      <c r="AI74" s="182">
        <f>O74-AI$73</f>
        <v>1639350740.6698136</v>
      </c>
      <c r="AJ74" s="182">
        <f t="shared" ref="AJ74:AL89" si="31">P74-AJ$73</f>
        <v>43886384.942387067</v>
      </c>
      <c r="AK74" s="182">
        <f t="shared" si="31"/>
        <v>3537693.3497863454</v>
      </c>
      <c r="AL74" s="195">
        <f t="shared" si="31"/>
        <v>305942.6388601127</v>
      </c>
    </row>
    <row r="75" spans="2:38" x14ac:dyDescent="0.3">
      <c r="B75" s="169" t="s">
        <v>824</v>
      </c>
      <c r="C75" s="179">
        <v>1</v>
      </c>
      <c r="D75" s="179">
        <v>1</v>
      </c>
      <c r="I75" s="168" t="s">
        <v>833</v>
      </c>
      <c r="J75" s="235">
        <f t="shared" ref="J75:M77" si="32">J70*$D$75</f>
        <v>175068771.18765202</v>
      </c>
      <c r="K75" s="235">
        <f t="shared" si="32"/>
        <v>5653984.0077593606</v>
      </c>
      <c r="L75" s="235">
        <f t="shared" si="32"/>
        <v>603397.67966537597</v>
      </c>
      <c r="M75" s="235">
        <f t="shared" si="32"/>
        <v>98205.393331040003</v>
      </c>
      <c r="O75" s="182">
        <f>E$76-J75</f>
        <v>1779642551.8435481</v>
      </c>
      <c r="P75" s="182">
        <f t="shared" ref="P75:R77" si="33">F$76-K75</f>
        <v>48698533.287920639</v>
      </c>
      <c r="Q75" s="182">
        <f t="shared" si="33"/>
        <v>4361121.4496466238</v>
      </c>
      <c r="R75" s="195">
        <f t="shared" si="33"/>
        <v>686616.29242895998</v>
      </c>
      <c r="T75" s="182">
        <f>O75-T$73</f>
        <v>1779536773.3323524</v>
      </c>
      <c r="U75" s="182">
        <f t="shared" ref="U75:W75" si="34">P75-U$73</f>
        <v>48683596.888806514</v>
      </c>
      <c r="V75" s="182">
        <f t="shared" si="34"/>
        <v>4348702.5860170051</v>
      </c>
      <c r="W75" s="195">
        <f t="shared" si="34"/>
        <v>674341.41517537308</v>
      </c>
      <c r="Y75" s="182">
        <f>O75-Y$73</f>
        <v>1779431603.4639475</v>
      </c>
      <c r="Z75" s="182">
        <f t="shared" ref="Z75:AB75" si="35">P75-Z$73</f>
        <v>48672883.540125512</v>
      </c>
      <c r="AA75" s="182">
        <f t="shared" si="35"/>
        <v>4340606.940014855</v>
      </c>
      <c r="AB75" s="195">
        <f t="shared" si="35"/>
        <v>666395.48445015808</v>
      </c>
      <c r="AD75" s="182">
        <f>O75-AD$73</f>
        <v>1773737123.1516998</v>
      </c>
      <c r="AE75" s="182">
        <f t="shared" ref="AE75:AG75" si="36">P75-AE$73</f>
        <v>46894260.140671507</v>
      </c>
      <c r="AF75" s="182">
        <f t="shared" si="36"/>
        <v>3654486.2224469315</v>
      </c>
      <c r="AG75" s="195">
        <f t="shared" si="36"/>
        <v>338982.3562860004</v>
      </c>
      <c r="AI75" s="182">
        <f t="shared" ref="AI75:AI97" si="37">O75-AI$73</f>
        <v>1775726073.427943</v>
      </c>
      <c r="AJ75" s="182">
        <f t="shared" si="31"/>
        <v>47955033.621334486</v>
      </c>
      <c r="AK75" s="182">
        <f t="shared" si="31"/>
        <v>3952828.7638833956</v>
      </c>
      <c r="AL75" s="195">
        <f t="shared" si="31"/>
        <v>372131.52755671862</v>
      </c>
    </row>
    <row r="76" spans="2:38" s="168" customFormat="1" x14ac:dyDescent="0.3">
      <c r="B76" s="169"/>
      <c r="C76" s="179"/>
      <c r="D76" s="179" t="s">
        <v>830</v>
      </c>
      <c r="E76" s="182">
        <f>E72*$D75</f>
        <v>1954711323.0312002</v>
      </c>
      <c r="F76" s="182">
        <f t="shared" ref="F76:H76" si="38">F72*$D75</f>
        <v>54352517.295680001</v>
      </c>
      <c r="G76" s="182">
        <f t="shared" si="38"/>
        <v>4964519.1293120002</v>
      </c>
      <c r="H76" s="195">
        <f t="shared" si="38"/>
        <v>784821.68576000002</v>
      </c>
      <c r="I76" s="168" t="s">
        <v>834</v>
      </c>
      <c r="J76" s="235">
        <f t="shared" si="32"/>
        <v>77796174.442601413</v>
      </c>
      <c r="K76" s="235">
        <f t="shared" si="32"/>
        <v>2573565.1241095038</v>
      </c>
      <c r="L76" s="235">
        <f t="shared" si="32"/>
        <v>278362.46749179077</v>
      </c>
      <c r="M76" s="235">
        <f t="shared" si="32"/>
        <v>45558.838379650988</v>
      </c>
      <c r="O76" s="182">
        <f t="shared" ref="O76:O77" si="39">E$76-J76</f>
        <v>1876915148.5885987</v>
      </c>
      <c r="P76" s="182">
        <f t="shared" si="33"/>
        <v>51778952.171570495</v>
      </c>
      <c r="Q76" s="182">
        <f t="shared" si="33"/>
        <v>4686156.6618202096</v>
      </c>
      <c r="R76" s="195">
        <f t="shared" si="33"/>
        <v>739262.84738034906</v>
      </c>
      <c r="T76" s="182">
        <f t="shared" ref="T76:T97" si="40">O76-T$73</f>
        <v>1876809370.0774031</v>
      </c>
      <c r="U76" s="182">
        <f t="shared" ref="U76:U97" si="41">P76-U$73</f>
        <v>51764015.77245637</v>
      </c>
      <c r="V76" s="182">
        <f t="shared" ref="V76:V97" si="42">Q76-V$73</f>
        <v>4673737.7981905909</v>
      </c>
      <c r="W76" s="195">
        <f t="shared" ref="W76:W97" si="43">R76-W$73</f>
        <v>726987.97012676217</v>
      </c>
      <c r="X76" s="212"/>
      <c r="Y76" s="182">
        <f t="shared" ref="Y76:Y97" si="44">O76-Y$73</f>
        <v>1876704200.2089982</v>
      </c>
      <c r="Z76" s="182">
        <f t="shared" ref="Z76:Z97" si="45">P76-Z$73</f>
        <v>51753302.423775367</v>
      </c>
      <c r="AA76" s="182">
        <f t="shared" ref="AA76:AA97" si="46">Q76-AA$73</f>
        <v>4665642.1521884408</v>
      </c>
      <c r="AB76" s="195">
        <f t="shared" ref="AB76:AB97" si="47">R76-AB$73</f>
        <v>719042.03940154717</v>
      </c>
      <c r="AC76" s="212"/>
      <c r="AD76" s="182">
        <f t="shared" ref="AD76:AD97" si="48">O76-AD$73</f>
        <v>1871009719.8967505</v>
      </c>
      <c r="AE76" s="182">
        <f t="shared" ref="AE76:AE97" si="49">P76-AE$73</f>
        <v>49974679.024321362</v>
      </c>
      <c r="AF76" s="182">
        <f t="shared" ref="AF76:AF97" si="50">Q76-AF$73</f>
        <v>3979521.4346205173</v>
      </c>
      <c r="AG76" s="195">
        <f t="shared" ref="AG76:AG97" si="51">R76-AG$73</f>
        <v>391628.91123738949</v>
      </c>
      <c r="AI76" s="182">
        <f t="shared" si="37"/>
        <v>1872998670.1729937</v>
      </c>
      <c r="AJ76" s="182">
        <f t="shared" si="31"/>
        <v>51035452.504984342</v>
      </c>
      <c r="AK76" s="182">
        <f t="shared" si="31"/>
        <v>4277863.9760569809</v>
      </c>
      <c r="AL76" s="195">
        <f t="shared" si="31"/>
        <v>424778.08250810771</v>
      </c>
    </row>
    <row r="77" spans="2:38" s="168" customFormat="1" x14ac:dyDescent="0.3">
      <c r="B77" s="169"/>
      <c r="C77" s="179"/>
      <c r="D77" s="179" t="s">
        <v>831</v>
      </c>
      <c r="E77" s="182">
        <f>E72*$C$75</f>
        <v>1954711323.0312002</v>
      </c>
      <c r="F77" s="182">
        <f t="shared" ref="F77:H77" si="52">F72*$C$75</f>
        <v>54352517.295680001</v>
      </c>
      <c r="G77" s="182">
        <f t="shared" si="52"/>
        <v>4964519.1293120002</v>
      </c>
      <c r="H77" s="195">
        <f t="shared" si="52"/>
        <v>784821.68576000002</v>
      </c>
      <c r="I77" s="8" t="s">
        <v>835</v>
      </c>
      <c r="J77" s="236">
        <f t="shared" si="32"/>
        <v>17481361.811366003</v>
      </c>
      <c r="K77" s="236">
        <f t="shared" si="32"/>
        <v>565902.63705645106</v>
      </c>
      <c r="L77" s="236">
        <f t="shared" si="32"/>
        <v>59839.737272370949</v>
      </c>
      <c r="M77" s="236">
        <f t="shared" si="32"/>
        <v>9823.3768276900664</v>
      </c>
      <c r="N77" s="8"/>
      <c r="O77" s="194">
        <f t="shared" si="39"/>
        <v>1937229961.2198341</v>
      </c>
      <c r="P77" s="194">
        <f t="shared" si="33"/>
        <v>53786614.658623554</v>
      </c>
      <c r="Q77" s="194">
        <f t="shared" si="33"/>
        <v>4904679.3920396296</v>
      </c>
      <c r="R77" s="196">
        <f t="shared" si="33"/>
        <v>774998.30893230997</v>
      </c>
      <c r="S77" s="8"/>
      <c r="T77" s="194">
        <f t="shared" si="40"/>
        <v>1937124182.7086384</v>
      </c>
      <c r="U77" s="194">
        <f t="shared" si="41"/>
        <v>53771678.259509429</v>
      </c>
      <c r="V77" s="194">
        <f t="shared" si="42"/>
        <v>4892260.528410011</v>
      </c>
      <c r="W77" s="196">
        <f t="shared" si="43"/>
        <v>762723.43167872308</v>
      </c>
      <c r="X77" s="8"/>
      <c r="Y77" s="194">
        <f t="shared" si="44"/>
        <v>1937019012.8402336</v>
      </c>
      <c r="Z77" s="194">
        <f t="shared" si="45"/>
        <v>53760964.910828426</v>
      </c>
      <c r="AA77" s="194">
        <f t="shared" si="46"/>
        <v>4884164.8824078608</v>
      </c>
      <c r="AB77" s="196">
        <f t="shared" si="47"/>
        <v>754777.50095350808</v>
      </c>
      <c r="AC77" s="8"/>
      <c r="AD77" s="194">
        <f t="shared" si="48"/>
        <v>1931324532.5279858</v>
      </c>
      <c r="AE77" s="194">
        <f t="shared" si="49"/>
        <v>51982341.511374421</v>
      </c>
      <c r="AF77" s="194">
        <f t="shared" si="50"/>
        <v>4198044.1648399374</v>
      </c>
      <c r="AG77" s="196">
        <f t="shared" si="51"/>
        <v>427364.3727893504</v>
      </c>
      <c r="AI77" s="194">
        <f t="shared" si="37"/>
        <v>1933313482.804229</v>
      </c>
      <c r="AJ77" s="194">
        <f t="shared" si="31"/>
        <v>53043114.992037401</v>
      </c>
      <c r="AK77" s="194">
        <f t="shared" si="31"/>
        <v>4496386.7062764009</v>
      </c>
      <c r="AL77" s="196">
        <f t="shared" si="31"/>
        <v>460513.54406006861</v>
      </c>
    </row>
    <row r="78" spans="2:38" s="217" customFormat="1" x14ac:dyDescent="0.3">
      <c r="B78" s="218"/>
      <c r="C78" s="179"/>
      <c r="D78" s="179"/>
      <c r="E78" s="182"/>
      <c r="F78" s="182"/>
      <c r="G78" s="182"/>
      <c r="H78" s="195"/>
      <c r="I78" s="145" t="s">
        <v>976</v>
      </c>
      <c r="J78" s="208">
        <f>J69*$D$79</f>
        <v>143641758.06904173</v>
      </c>
      <c r="K78" s="208">
        <f t="shared" ref="K78:M78" si="53">K69*$D$79</f>
        <v>4484194.8667014092</v>
      </c>
      <c r="L78" s="208">
        <f t="shared" si="53"/>
        <v>469759.68524035619</v>
      </c>
      <c r="M78" s="208">
        <f t="shared" si="53"/>
        <v>75820.615602534672</v>
      </c>
      <c r="N78" s="207"/>
      <c r="O78" s="182">
        <f>E$80-J78</f>
        <v>757894560.64882421</v>
      </c>
      <c r="P78" s="182">
        <f t="shared" ref="P78:R78" si="54">F$80-K78</f>
        <v>20583838.340273757</v>
      </c>
      <c r="Q78" s="182">
        <f t="shared" si="54"/>
        <v>1819936.1114278901</v>
      </c>
      <c r="R78" s="195">
        <f t="shared" si="54"/>
        <v>286148.56373020646</v>
      </c>
      <c r="S78" s="207"/>
      <c r="T78" s="182">
        <f t="shared" ref="T78" si="55">O78-T$73</f>
        <v>757788782.13762856</v>
      </c>
      <c r="U78" s="182">
        <f t="shared" ref="U78" si="56">P78-U$73</f>
        <v>20568901.941159632</v>
      </c>
      <c r="V78" s="182">
        <f t="shared" ref="V78" si="57">Q78-V$73</f>
        <v>1807517.2477982715</v>
      </c>
      <c r="W78" s="195">
        <f t="shared" ref="W78" si="58">R78-W$73</f>
        <v>273873.68647661956</v>
      </c>
      <c r="X78" s="207"/>
      <c r="Y78" s="182">
        <f t="shared" ref="Y78" si="59">O78-Y$73</f>
        <v>757683612.26922357</v>
      </c>
      <c r="Z78" s="182">
        <f t="shared" ref="Z78" si="60">P78-Z$73</f>
        <v>20558188.592478633</v>
      </c>
      <c r="AA78" s="182">
        <f t="shared" ref="AA78" si="61">Q78-AA$73</f>
        <v>1799421.6017961213</v>
      </c>
      <c r="AB78" s="195">
        <f t="shared" ref="AB78" si="62">R78-AB$73</f>
        <v>265927.75575140456</v>
      </c>
      <c r="AC78" s="207"/>
      <c r="AD78" s="182">
        <f t="shared" ref="AD78" si="63">O78-AD$73</f>
        <v>751989131.95697594</v>
      </c>
      <c r="AE78" s="182">
        <f t="shared" ref="AE78" si="64">P78-AE$73</f>
        <v>18779565.19302462</v>
      </c>
      <c r="AF78" s="182">
        <f t="shared" ref="AF78" si="65">Q78-AF$73</f>
        <v>1113300.8842281979</v>
      </c>
      <c r="AG78" s="184">
        <f t="shared" ref="AG78" si="66">R78-AG$73</f>
        <v>-61485.372412753117</v>
      </c>
      <c r="AI78" s="182">
        <f t="shared" si="37"/>
        <v>753978082.23321915</v>
      </c>
      <c r="AJ78" s="182">
        <f t="shared" si="31"/>
        <v>19840338.673687607</v>
      </c>
      <c r="AK78" s="182">
        <f t="shared" si="31"/>
        <v>1411643.4256646617</v>
      </c>
      <c r="AL78" s="183">
        <f t="shared" si="31"/>
        <v>-28336.201142034901</v>
      </c>
    </row>
    <row r="79" spans="2:38" x14ac:dyDescent="0.3">
      <c r="B79" s="169" t="s">
        <v>891</v>
      </c>
      <c r="C79" s="180">
        <v>9.7420000000000007E-3</v>
      </c>
      <c r="D79" s="180">
        <v>0.46121200000000001</v>
      </c>
      <c r="I79" s="168" t="s">
        <v>833</v>
      </c>
      <c r="J79" s="101">
        <f>J70*$D$79</f>
        <v>80743818.096999362</v>
      </c>
      <c r="K79" s="101">
        <f t="shared" ref="K79:M79" si="67">K70*$D$79</f>
        <v>2607685.2721867105</v>
      </c>
      <c r="L79" s="101">
        <f t="shared" si="67"/>
        <v>278294.25063382741</v>
      </c>
      <c r="M79" s="101">
        <f t="shared" si="67"/>
        <v>45293.50586899562</v>
      </c>
      <c r="O79" s="182">
        <f>E$80-J79</f>
        <v>820792500.62086654</v>
      </c>
      <c r="P79" s="182">
        <f t="shared" ref="P79:R81" si="68">F$80-K79</f>
        <v>22460347.934788454</v>
      </c>
      <c r="Q79" s="182">
        <f t="shared" si="68"/>
        <v>2011401.546034419</v>
      </c>
      <c r="R79" s="195">
        <f t="shared" si="68"/>
        <v>316675.67346374551</v>
      </c>
      <c r="T79" s="182">
        <f t="shared" si="40"/>
        <v>820686722.10967088</v>
      </c>
      <c r="U79" s="182">
        <f t="shared" si="41"/>
        <v>22445411.53567433</v>
      </c>
      <c r="V79" s="182">
        <f t="shared" si="42"/>
        <v>1998982.6824048003</v>
      </c>
      <c r="W79" s="195">
        <f t="shared" si="43"/>
        <v>304400.79621015862</v>
      </c>
      <c r="X79" s="212"/>
      <c r="Y79" s="182">
        <f t="shared" si="44"/>
        <v>820581552.24126589</v>
      </c>
      <c r="Z79" s="182">
        <f t="shared" si="45"/>
        <v>22434698.186993331</v>
      </c>
      <c r="AA79" s="182">
        <f t="shared" si="46"/>
        <v>1990887.0364026502</v>
      </c>
      <c r="AB79" s="195">
        <f t="shared" si="47"/>
        <v>296454.86548494361</v>
      </c>
      <c r="AC79" s="212"/>
      <c r="AD79" s="182">
        <f t="shared" si="48"/>
        <v>814887071.92901826</v>
      </c>
      <c r="AE79" s="182">
        <f t="shared" si="49"/>
        <v>20656074.787539318</v>
      </c>
      <c r="AF79" s="182">
        <f t="shared" si="50"/>
        <v>1304766.3188347267</v>
      </c>
      <c r="AG79" s="184">
        <f t="shared" si="51"/>
        <v>-30958.262679214065</v>
      </c>
      <c r="AI79" s="182">
        <f t="shared" si="37"/>
        <v>816876022.20526147</v>
      </c>
      <c r="AJ79" s="182">
        <f t="shared" si="31"/>
        <v>21716848.268202305</v>
      </c>
      <c r="AK79" s="182">
        <f t="shared" si="31"/>
        <v>1603108.8602711905</v>
      </c>
      <c r="AL79" s="183">
        <f t="shared" si="31"/>
        <v>2190.9085915041505</v>
      </c>
    </row>
    <row r="80" spans="2:38" s="168" customFormat="1" x14ac:dyDescent="0.3">
      <c r="B80" s="169"/>
      <c r="C80" s="180"/>
      <c r="D80" s="179" t="s">
        <v>830</v>
      </c>
      <c r="E80" s="182">
        <f>E72*$D$79</f>
        <v>901536318.71786594</v>
      </c>
      <c r="F80" s="182">
        <f t="shared" ref="F80:H80" si="69">F72*$D$79</f>
        <v>25068033.206975166</v>
      </c>
      <c r="G80" s="182">
        <f t="shared" si="69"/>
        <v>2289695.7966682464</v>
      </c>
      <c r="H80" s="195">
        <f t="shared" si="69"/>
        <v>361969.17933274113</v>
      </c>
      <c r="I80" s="168" t="s">
        <v>834</v>
      </c>
      <c r="J80" s="101">
        <f>J71*$D$79</f>
        <v>35880529.20702108</v>
      </c>
      <c r="K80" s="101">
        <f t="shared" ref="K80:M81" si="70">K71*$D$79</f>
        <v>1186959.1180207925</v>
      </c>
      <c r="L80" s="101">
        <f t="shared" si="70"/>
        <v>128384.1103568238</v>
      </c>
      <c r="M80" s="101">
        <f t="shared" si="70"/>
        <v>21012.282966755592</v>
      </c>
      <c r="O80" s="182">
        <f t="shared" ref="O80:O81" si="71">E$80-J80</f>
        <v>865655789.51084483</v>
      </c>
      <c r="P80" s="182">
        <f t="shared" si="68"/>
        <v>23881074.088954374</v>
      </c>
      <c r="Q80" s="182">
        <f t="shared" si="68"/>
        <v>2161311.6863114224</v>
      </c>
      <c r="R80" s="195">
        <f t="shared" si="68"/>
        <v>340956.89636598551</v>
      </c>
      <c r="T80" s="182">
        <f t="shared" si="40"/>
        <v>865550010.99964917</v>
      </c>
      <c r="U80" s="182">
        <f t="shared" si="41"/>
        <v>23866137.68984025</v>
      </c>
      <c r="V80" s="182">
        <f t="shared" si="42"/>
        <v>2148892.8226818037</v>
      </c>
      <c r="W80" s="195">
        <f t="shared" si="43"/>
        <v>328682.01911239862</v>
      </c>
      <c r="X80" s="212"/>
      <c r="Y80" s="182">
        <f t="shared" si="44"/>
        <v>865444841.13124418</v>
      </c>
      <c r="Z80" s="182">
        <f t="shared" si="45"/>
        <v>23855424.341159251</v>
      </c>
      <c r="AA80" s="182">
        <f t="shared" si="46"/>
        <v>2140797.1766796536</v>
      </c>
      <c r="AB80" s="195">
        <f t="shared" si="47"/>
        <v>320736.08838718361</v>
      </c>
      <c r="AC80" s="212"/>
      <c r="AD80" s="182">
        <f t="shared" si="48"/>
        <v>859750360.81899655</v>
      </c>
      <c r="AE80" s="182">
        <f t="shared" si="49"/>
        <v>22076800.941705238</v>
      </c>
      <c r="AF80" s="182">
        <f t="shared" si="50"/>
        <v>1454676.4591117301</v>
      </c>
      <c r="AG80" s="184">
        <f t="shared" si="51"/>
        <v>-6677.0397769740666</v>
      </c>
      <c r="AI80" s="182">
        <f t="shared" si="37"/>
        <v>861739311.09523976</v>
      </c>
      <c r="AJ80" s="182">
        <f t="shared" si="31"/>
        <v>23137574.422368225</v>
      </c>
      <c r="AK80" s="182">
        <f t="shared" si="31"/>
        <v>1753019.0005481939</v>
      </c>
      <c r="AL80" s="183">
        <f t="shared" si="31"/>
        <v>26472.131493744149</v>
      </c>
    </row>
    <row r="81" spans="2:38" s="168" customFormat="1" x14ac:dyDescent="0.3">
      <c r="B81" s="169"/>
      <c r="C81" s="180"/>
      <c r="D81" s="179" t="s">
        <v>831</v>
      </c>
      <c r="E81" s="182">
        <f>E72*$C$79</f>
        <v>19042797.708969954</v>
      </c>
      <c r="F81" s="195">
        <f t="shared" ref="F81:H81" si="72">F72*$C$79</f>
        <v>529502.22349451459</v>
      </c>
      <c r="G81" s="183">
        <f t="shared" si="72"/>
        <v>48364.345357757513</v>
      </c>
      <c r="H81" s="184">
        <f t="shared" si="72"/>
        <v>7645.7328626739209</v>
      </c>
      <c r="I81" s="8" t="s">
        <v>835</v>
      </c>
      <c r="J81" s="170">
        <f>J72*$D$79</f>
        <v>8062613.8437437369</v>
      </c>
      <c r="K81" s="170">
        <f t="shared" si="70"/>
        <v>261001.08704207992</v>
      </c>
      <c r="L81" s="170">
        <f t="shared" si="70"/>
        <v>27598.804906864752</v>
      </c>
      <c r="M81" s="170">
        <f t="shared" si="70"/>
        <v>4530.6592734525912</v>
      </c>
      <c r="N81" s="8"/>
      <c r="O81" s="194">
        <f t="shared" si="71"/>
        <v>893473704.87412226</v>
      </c>
      <c r="P81" s="194">
        <f t="shared" si="68"/>
        <v>24807032.119933087</v>
      </c>
      <c r="Q81" s="194">
        <f t="shared" si="68"/>
        <v>2262096.9917613817</v>
      </c>
      <c r="R81" s="196">
        <f t="shared" si="68"/>
        <v>357438.52005928854</v>
      </c>
      <c r="S81" s="8"/>
      <c r="T81" s="194">
        <f t="shared" si="40"/>
        <v>893367926.3629266</v>
      </c>
      <c r="U81" s="194">
        <f t="shared" si="41"/>
        <v>24792095.720818963</v>
      </c>
      <c r="V81" s="194">
        <f t="shared" si="42"/>
        <v>2249678.1281317631</v>
      </c>
      <c r="W81" s="196">
        <f t="shared" si="43"/>
        <v>345163.64280570165</v>
      </c>
      <c r="X81" s="8"/>
      <c r="Y81" s="194">
        <f t="shared" si="44"/>
        <v>893262756.49452162</v>
      </c>
      <c r="Z81" s="194">
        <f t="shared" si="45"/>
        <v>24781382.372137964</v>
      </c>
      <c r="AA81" s="194">
        <f t="shared" si="46"/>
        <v>2241582.4821296129</v>
      </c>
      <c r="AB81" s="196">
        <f t="shared" si="47"/>
        <v>337217.71208048664</v>
      </c>
      <c r="AC81" s="8"/>
      <c r="AD81" s="194">
        <f t="shared" si="48"/>
        <v>887568276.18227398</v>
      </c>
      <c r="AE81" s="194">
        <f t="shared" si="49"/>
        <v>23002758.972683951</v>
      </c>
      <c r="AF81" s="194">
        <f t="shared" si="50"/>
        <v>1555461.7645616895</v>
      </c>
      <c r="AG81" s="197">
        <f t="shared" si="51"/>
        <v>9804.5839163289638</v>
      </c>
      <c r="AI81" s="194">
        <f t="shared" si="37"/>
        <v>889557226.45851719</v>
      </c>
      <c r="AJ81" s="194">
        <f t="shared" si="31"/>
        <v>24063532.453346938</v>
      </c>
      <c r="AK81" s="194">
        <f t="shared" si="31"/>
        <v>1853804.3059981533</v>
      </c>
      <c r="AL81" s="193">
        <f t="shared" si="31"/>
        <v>42953.75518704718</v>
      </c>
    </row>
    <row r="82" spans="2:38" s="217" customFormat="1" x14ac:dyDescent="0.3">
      <c r="B82" s="218"/>
      <c r="C82" s="180"/>
      <c r="D82" s="179"/>
      <c r="E82" s="182"/>
      <c r="F82" s="195"/>
      <c r="G82" s="183"/>
      <c r="H82" s="184"/>
      <c r="I82" s="145" t="s">
        <v>976</v>
      </c>
      <c r="J82" s="208">
        <f>J69*$D$83</f>
        <v>3271720.311950434</v>
      </c>
      <c r="K82" s="208">
        <f t="shared" ref="K82:M82" si="73">K69*$D$83</f>
        <v>102136.25637385476</v>
      </c>
      <c r="L82" s="208">
        <f t="shared" si="73"/>
        <v>10699.690149974289</v>
      </c>
      <c r="M82" s="208">
        <f t="shared" si="73"/>
        <v>1726.9619327004214</v>
      </c>
      <c r="N82" s="207"/>
      <c r="O82" s="182">
        <f>E$84-J82</f>
        <v>17262522.136492323</v>
      </c>
      <c r="P82" s="195">
        <f t="shared" ref="P82:R82" si="74">F$84-K82</f>
        <v>468836.93781726371</v>
      </c>
      <c r="Q82" s="183">
        <f t="shared" si="74"/>
        <v>41452.583303448278</v>
      </c>
      <c r="R82" s="184">
        <f t="shared" si="74"/>
        <v>6517.5898762083789</v>
      </c>
      <c r="S82" s="207"/>
      <c r="T82" s="182">
        <f t="shared" ref="T82" si="75">O82-T$73</f>
        <v>17156743.625296697</v>
      </c>
      <c r="U82" s="195">
        <f t="shared" ref="U82" si="76">P82-U$73</f>
        <v>453900.53870313871</v>
      </c>
      <c r="V82" s="183">
        <f t="shared" ref="V82" si="77">Q82-V$73</f>
        <v>29033.719673829528</v>
      </c>
      <c r="W82" s="184">
        <f t="shared" ref="W82" si="78">R82-W$73</f>
        <v>-5757.2873773785022</v>
      </c>
      <c r="X82" s="207"/>
      <c r="Y82" s="182">
        <f t="shared" ref="Y82" si="79">O82-Y$73</f>
        <v>17051573.756891698</v>
      </c>
      <c r="Z82" s="195">
        <f t="shared" ref="Z82" si="80">P82-Z$73</f>
        <v>443187.1900221387</v>
      </c>
      <c r="AA82" s="183">
        <f t="shared" ref="AA82" si="81">Q82-AA$73</f>
        <v>20938.073671679478</v>
      </c>
      <c r="AB82" s="184">
        <f t="shared" ref="AB82" si="82">R82-AB$73</f>
        <v>-13703.218102593524</v>
      </c>
      <c r="AC82" s="207"/>
      <c r="AD82" s="182">
        <f t="shared" ref="AD82" si="83">O82-AD$73</f>
        <v>11357093.444644103</v>
      </c>
      <c r="AE82" s="184">
        <f t="shared" ref="AE82" si="84">P82-AE$73</f>
        <v>-1335436.2094318708</v>
      </c>
      <c r="AF82" s="184">
        <f t="shared" ref="AF82" si="85">Q82-AF$73</f>
        <v>-665182.64389624412</v>
      </c>
      <c r="AG82" s="184">
        <f t="shared" ref="AG82" si="86">R82-AG$73</f>
        <v>-341116.34626675118</v>
      </c>
      <c r="AI82" s="182">
        <f t="shared" si="37"/>
        <v>13346043.720887197</v>
      </c>
      <c r="AJ82" s="184">
        <f t="shared" si="31"/>
        <v>-274662.72876888729</v>
      </c>
      <c r="AK82" s="184">
        <f t="shared" si="31"/>
        <v>-366840.10245978012</v>
      </c>
      <c r="AL82" s="184">
        <f t="shared" si="31"/>
        <v>-307967.17499603296</v>
      </c>
    </row>
    <row r="83" spans="2:38" x14ac:dyDescent="0.3">
      <c r="B83" s="169" t="s">
        <v>892</v>
      </c>
      <c r="C83" s="180">
        <v>2.3630000000000001E-3</v>
      </c>
      <c r="D83" s="180">
        <v>1.0505E-2</v>
      </c>
      <c r="I83" s="168" t="s">
        <v>833</v>
      </c>
      <c r="J83" s="208">
        <f t="shared" ref="J83:M85" si="87">J70*$D$83</f>
        <v>1839097.4413262845</v>
      </c>
      <c r="K83" s="208">
        <f t="shared" si="87"/>
        <v>59395.102001512088</v>
      </c>
      <c r="L83" s="208">
        <f t="shared" si="87"/>
        <v>6338.6926248847749</v>
      </c>
      <c r="M83" s="208">
        <f t="shared" si="87"/>
        <v>1031.6476569425752</v>
      </c>
      <c r="O83" s="182">
        <f>E$84-J83</f>
        <v>18695145.007116474</v>
      </c>
      <c r="P83" s="195">
        <f t="shared" ref="P83:R85" si="88">F$84-K83</f>
        <v>511578.0921896064</v>
      </c>
      <c r="Q83" s="183">
        <f t="shared" si="88"/>
        <v>45813.580828537793</v>
      </c>
      <c r="R83" s="184">
        <f t="shared" si="88"/>
        <v>7212.9041519662251</v>
      </c>
      <c r="T83" s="182">
        <f t="shared" si="40"/>
        <v>18589366.495920848</v>
      </c>
      <c r="U83" s="195">
        <f t="shared" si="41"/>
        <v>496641.69307548139</v>
      </c>
      <c r="V83" s="183">
        <f t="shared" si="42"/>
        <v>33394.717198919039</v>
      </c>
      <c r="W83" s="184">
        <f t="shared" si="43"/>
        <v>-5061.9731016206561</v>
      </c>
      <c r="X83" s="212"/>
      <c r="Y83" s="182">
        <f t="shared" si="44"/>
        <v>18484196.627515849</v>
      </c>
      <c r="Z83" s="195">
        <f t="shared" si="45"/>
        <v>485928.34439448139</v>
      </c>
      <c r="AA83" s="183">
        <f t="shared" si="46"/>
        <v>25299.071196768993</v>
      </c>
      <c r="AB83" s="184">
        <f t="shared" si="47"/>
        <v>-13007.903826835678</v>
      </c>
      <c r="AC83" s="212"/>
      <c r="AD83" s="182">
        <f t="shared" si="48"/>
        <v>12789716.315268254</v>
      </c>
      <c r="AE83" s="184">
        <f t="shared" si="49"/>
        <v>-1292695.055059528</v>
      </c>
      <c r="AF83" s="184">
        <f t="shared" si="50"/>
        <v>-660821.64637115458</v>
      </c>
      <c r="AG83" s="184">
        <f t="shared" si="51"/>
        <v>-340421.03199099336</v>
      </c>
      <c r="AI83" s="182">
        <f t="shared" si="37"/>
        <v>14778666.591511348</v>
      </c>
      <c r="AJ83" s="184">
        <f t="shared" si="31"/>
        <v>-231921.5743965446</v>
      </c>
      <c r="AK83" s="184">
        <f t="shared" si="31"/>
        <v>-362479.10493469058</v>
      </c>
      <c r="AL83" s="184">
        <f t="shared" si="31"/>
        <v>-307271.86072027514</v>
      </c>
    </row>
    <row r="84" spans="2:38" s="168" customFormat="1" x14ac:dyDescent="0.3">
      <c r="B84" s="169"/>
      <c r="C84" s="180"/>
      <c r="D84" s="179" t="s">
        <v>830</v>
      </c>
      <c r="E84" s="182">
        <f>E72*$D$83</f>
        <v>20534242.448442757</v>
      </c>
      <c r="F84" s="195">
        <f t="shared" ref="F84:H84" si="89">F72*$D$83</f>
        <v>570973.19419111847</v>
      </c>
      <c r="G84" s="183">
        <f t="shared" si="89"/>
        <v>52152.273453422567</v>
      </c>
      <c r="H84" s="184">
        <f t="shared" si="89"/>
        <v>8244.5518089088</v>
      </c>
      <c r="I84" s="168" t="s">
        <v>834</v>
      </c>
      <c r="J84" s="208">
        <f t="shared" si="87"/>
        <v>817248.81251952786</v>
      </c>
      <c r="K84" s="208">
        <f t="shared" si="87"/>
        <v>27035.301628770339</v>
      </c>
      <c r="L84" s="208">
        <f t="shared" si="87"/>
        <v>2924.1977210012619</v>
      </c>
      <c r="M84" s="208">
        <f t="shared" si="87"/>
        <v>478.59559717823367</v>
      </c>
      <c r="O84" s="182">
        <f t="shared" ref="O84:O85" si="90">E$84-J84</f>
        <v>19716993.635923229</v>
      </c>
      <c r="P84" s="195">
        <f t="shared" si="88"/>
        <v>543937.89256234816</v>
      </c>
      <c r="Q84" s="183">
        <f t="shared" si="88"/>
        <v>49228.075732421305</v>
      </c>
      <c r="R84" s="184">
        <f t="shared" si="88"/>
        <v>7765.9562117305668</v>
      </c>
      <c r="T84" s="182">
        <f t="shared" si="40"/>
        <v>19611215.124727603</v>
      </c>
      <c r="U84" s="195">
        <f t="shared" si="41"/>
        <v>529001.49344822322</v>
      </c>
      <c r="V84" s="183">
        <f t="shared" si="42"/>
        <v>36809.212102802558</v>
      </c>
      <c r="W84" s="184">
        <f t="shared" si="43"/>
        <v>-4508.9210418563143</v>
      </c>
      <c r="X84" s="212"/>
      <c r="Y84" s="182">
        <f t="shared" si="44"/>
        <v>19506045.256322604</v>
      </c>
      <c r="Z84" s="195">
        <f t="shared" si="45"/>
        <v>518288.14476722316</v>
      </c>
      <c r="AA84" s="183">
        <f t="shared" si="46"/>
        <v>28713.566100652504</v>
      </c>
      <c r="AB84" s="184">
        <f t="shared" si="47"/>
        <v>-12454.851767071335</v>
      </c>
      <c r="AC84" s="212"/>
      <c r="AD84" s="182">
        <f t="shared" si="48"/>
        <v>13811564.944075009</v>
      </c>
      <c r="AE84" s="184">
        <f t="shared" si="49"/>
        <v>-1260335.2546867863</v>
      </c>
      <c r="AF84" s="184">
        <f t="shared" si="50"/>
        <v>-657407.15146727115</v>
      </c>
      <c r="AG84" s="184">
        <f t="shared" si="51"/>
        <v>-339867.97993122903</v>
      </c>
      <c r="AI84" s="182">
        <f t="shared" si="37"/>
        <v>15800515.220318103</v>
      </c>
      <c r="AJ84" s="184">
        <f t="shared" si="31"/>
        <v>-199561.77402380283</v>
      </c>
      <c r="AK84" s="184">
        <f t="shared" si="31"/>
        <v>-359064.61003080709</v>
      </c>
      <c r="AL84" s="184">
        <f t="shared" si="31"/>
        <v>-306718.80866051081</v>
      </c>
    </row>
    <row r="85" spans="2:38" s="168" customFormat="1" x14ac:dyDescent="0.3">
      <c r="B85" s="169"/>
      <c r="C85" s="180"/>
      <c r="D85" s="179" t="s">
        <v>831</v>
      </c>
      <c r="E85" s="182">
        <f>E72*$C$83</f>
        <v>4618982.8563227262</v>
      </c>
      <c r="F85" s="195">
        <f t="shared" ref="F85:H85" si="91">F72*$C$83</f>
        <v>128434.99836969185</v>
      </c>
      <c r="G85" s="183">
        <f t="shared" si="91"/>
        <v>11731.158702564257</v>
      </c>
      <c r="H85" s="184">
        <f t="shared" si="91"/>
        <v>1854.5336434508802</v>
      </c>
      <c r="I85" s="8" t="s">
        <v>835</v>
      </c>
      <c r="J85" s="170">
        <f t="shared" si="87"/>
        <v>183641.70582839986</v>
      </c>
      <c r="K85" s="170">
        <f t="shared" si="87"/>
        <v>5944.8072022780188</v>
      </c>
      <c r="L85" s="170">
        <f t="shared" si="87"/>
        <v>628.6164400462568</v>
      </c>
      <c r="M85" s="170">
        <f t="shared" si="87"/>
        <v>103.19457357488415</v>
      </c>
      <c r="N85" s="8"/>
      <c r="O85" s="194">
        <f t="shared" si="90"/>
        <v>20350600.742614359</v>
      </c>
      <c r="P85" s="196">
        <f t="shared" si="88"/>
        <v>565028.38698884042</v>
      </c>
      <c r="Q85" s="193">
        <f t="shared" si="88"/>
        <v>51523.657013376309</v>
      </c>
      <c r="R85" s="197">
        <f t="shared" si="88"/>
        <v>8141.3572353339159</v>
      </c>
      <c r="S85" s="8"/>
      <c r="T85" s="194">
        <f t="shared" si="40"/>
        <v>20244822.231418733</v>
      </c>
      <c r="U85" s="196">
        <f t="shared" si="41"/>
        <v>550091.98787471536</v>
      </c>
      <c r="V85" s="193">
        <f t="shared" si="42"/>
        <v>39104.793383757555</v>
      </c>
      <c r="W85" s="197">
        <f t="shared" si="43"/>
        <v>-4133.5200182529652</v>
      </c>
      <c r="X85" s="8"/>
      <c r="Y85" s="194">
        <f t="shared" si="44"/>
        <v>20139652.363013733</v>
      </c>
      <c r="Z85" s="196">
        <f t="shared" si="45"/>
        <v>539378.63919371541</v>
      </c>
      <c r="AA85" s="193">
        <f t="shared" si="46"/>
        <v>31009.147381607509</v>
      </c>
      <c r="AB85" s="197">
        <f t="shared" si="47"/>
        <v>-12079.450743467987</v>
      </c>
      <c r="AC85" s="8"/>
      <c r="AD85" s="194">
        <f t="shared" si="48"/>
        <v>14445172.050766138</v>
      </c>
      <c r="AE85" s="197">
        <f t="shared" si="49"/>
        <v>-1239244.7602602942</v>
      </c>
      <c r="AF85" s="197">
        <f t="shared" si="50"/>
        <v>-655111.57018631604</v>
      </c>
      <c r="AG85" s="197">
        <f t="shared" si="51"/>
        <v>-339492.57890762563</v>
      </c>
      <c r="AI85" s="194">
        <f t="shared" si="37"/>
        <v>16434122.327009233</v>
      </c>
      <c r="AJ85" s="197">
        <f t="shared" si="31"/>
        <v>-178471.27959731058</v>
      </c>
      <c r="AK85" s="197">
        <f t="shared" si="31"/>
        <v>-356769.02874985209</v>
      </c>
      <c r="AL85" s="197">
        <f t="shared" si="31"/>
        <v>-306343.40763690742</v>
      </c>
    </row>
    <row r="86" spans="2:38" s="217" customFormat="1" x14ac:dyDescent="0.3">
      <c r="B86" s="218"/>
      <c r="C86" s="180"/>
      <c r="D86" s="179"/>
      <c r="E86" s="182"/>
      <c r="F86" s="195"/>
      <c r="G86" s="183"/>
      <c r="H86" s="184"/>
      <c r="I86" s="145" t="s">
        <v>976</v>
      </c>
      <c r="J86" s="208">
        <f>J69*$D$87</f>
        <v>1073236.3821971626</v>
      </c>
      <c r="K86" s="208">
        <f t="shared" ref="K86:M86" si="92">K69*$D$87</f>
        <v>33504.192238391573</v>
      </c>
      <c r="L86" s="208">
        <f t="shared" si="92"/>
        <v>3509.8650411053213</v>
      </c>
      <c r="M86" s="208">
        <f t="shared" si="92"/>
        <v>566.50269586726813</v>
      </c>
      <c r="N86" s="207"/>
      <c r="O86" s="182">
        <f>E$88-J86</f>
        <v>5662698.836968353</v>
      </c>
      <c r="P86" s="195">
        <f t="shared" ref="P86:R86" si="93">F$88-K86</f>
        <v>153794.5823625217</v>
      </c>
      <c r="Q86" s="183">
        <f t="shared" si="93"/>
        <v>13597.867878503832</v>
      </c>
      <c r="R86" s="184">
        <f t="shared" si="93"/>
        <v>2137.9928332616919</v>
      </c>
      <c r="S86" s="207"/>
      <c r="T86" s="182">
        <f t="shared" ref="T86" si="94">O86-T$73</f>
        <v>5556920.3257727278</v>
      </c>
      <c r="U86" s="195">
        <f t="shared" ref="U86" si="95">P86-U$73</f>
        <v>138858.1832483967</v>
      </c>
      <c r="V86" s="184">
        <f t="shared" ref="V86" si="96">Q86-V$73</f>
        <v>1179.0042488850813</v>
      </c>
      <c r="W86" s="184">
        <f t="shared" ref="W86" si="97">R86-W$73</f>
        <v>-10136.88442032519</v>
      </c>
      <c r="X86" s="207"/>
      <c r="Y86" s="182">
        <f t="shared" ref="Y86" si="98">O86-Y$73</f>
        <v>5451750.4573677285</v>
      </c>
      <c r="Z86" s="183">
        <f t="shared" ref="Z86" si="99">P86-Z$73</f>
        <v>128144.8345673967</v>
      </c>
      <c r="AA86" s="184">
        <f t="shared" ref="AA86" si="100">Q86-AA$73</f>
        <v>-6916.6417532649684</v>
      </c>
      <c r="AB86" s="184">
        <f t="shared" ref="AB86" si="101">R86-AB$73</f>
        <v>-18082.815145540211</v>
      </c>
      <c r="AC86" s="207"/>
      <c r="AD86" s="195">
        <f t="shared" ref="AD86" si="102">O86-AD$73</f>
        <v>-242729.85487986729</v>
      </c>
      <c r="AE86" s="184">
        <f t="shared" ref="AE86" si="103">P86-AE$73</f>
        <v>-1650478.5648866128</v>
      </c>
      <c r="AF86" s="184">
        <f t="shared" ref="AF86" si="104">Q86-AF$73</f>
        <v>-693037.35932118853</v>
      </c>
      <c r="AG86" s="184">
        <f t="shared" ref="AG86" si="105">R86-AG$73</f>
        <v>-345495.9433096979</v>
      </c>
      <c r="AI86" s="182">
        <f t="shared" si="37"/>
        <v>1746220.4213632271</v>
      </c>
      <c r="AJ86" s="184">
        <f t="shared" si="31"/>
        <v>-589705.08422362932</v>
      </c>
      <c r="AK86" s="184">
        <f t="shared" si="31"/>
        <v>-394694.81788472459</v>
      </c>
      <c r="AL86" s="184">
        <f t="shared" si="31"/>
        <v>-312346.77203897969</v>
      </c>
    </row>
    <row r="87" spans="2:38" x14ac:dyDescent="0.3">
      <c r="B87" s="169" t="s">
        <v>893</v>
      </c>
      <c r="C87" s="180">
        <v>3.0200000000000002E-4</v>
      </c>
      <c r="D87" s="180">
        <v>3.4459999999999998E-3</v>
      </c>
      <c r="I87" s="168" t="s">
        <v>833</v>
      </c>
      <c r="J87" s="101">
        <f>J70*$D$87</f>
        <v>603286.98551264883</v>
      </c>
      <c r="K87" s="101">
        <f t="shared" ref="K87:M87" si="106">K70*$D$87</f>
        <v>19483.628890738757</v>
      </c>
      <c r="L87" s="101">
        <f t="shared" si="106"/>
        <v>2079.3084041268853</v>
      </c>
      <c r="M87" s="101">
        <f t="shared" si="106"/>
        <v>338.41578541876385</v>
      </c>
      <c r="O87" s="182">
        <f>E$88-J87</f>
        <v>6132648.2336528664</v>
      </c>
      <c r="P87" s="195">
        <f t="shared" ref="P87:R89" si="107">F$88-K87</f>
        <v>167815.14571017452</v>
      </c>
      <c r="Q87" s="183">
        <f t="shared" si="107"/>
        <v>15028.424515482267</v>
      </c>
      <c r="R87" s="184">
        <f t="shared" si="107"/>
        <v>2366.079743710196</v>
      </c>
      <c r="T87" s="182">
        <f t="shared" si="40"/>
        <v>6026869.7224572413</v>
      </c>
      <c r="U87" s="195">
        <f t="shared" si="41"/>
        <v>152878.74659604952</v>
      </c>
      <c r="V87" s="184">
        <f t="shared" si="42"/>
        <v>2609.5608858635169</v>
      </c>
      <c r="W87" s="184">
        <f t="shared" si="43"/>
        <v>-9908.7975098766856</v>
      </c>
      <c r="X87" s="212"/>
      <c r="Y87" s="182">
        <f t="shared" si="44"/>
        <v>5921699.8540522419</v>
      </c>
      <c r="Z87" s="183">
        <f t="shared" si="45"/>
        <v>142165.39791504951</v>
      </c>
      <c r="AA87" s="184">
        <f t="shared" si="46"/>
        <v>-5486.0851162865329</v>
      </c>
      <c r="AB87" s="184">
        <f t="shared" si="47"/>
        <v>-17854.728235091705</v>
      </c>
      <c r="AC87" s="212"/>
      <c r="AD87" s="195">
        <f t="shared" si="48"/>
        <v>227219.54180464614</v>
      </c>
      <c r="AE87" s="184">
        <f t="shared" si="49"/>
        <v>-1636458.00153896</v>
      </c>
      <c r="AF87" s="184">
        <f t="shared" si="50"/>
        <v>-691606.80268421012</v>
      </c>
      <c r="AG87" s="184">
        <f t="shared" si="51"/>
        <v>-345267.8563992494</v>
      </c>
      <c r="AI87" s="182">
        <f t="shared" si="37"/>
        <v>2216169.8180477405</v>
      </c>
      <c r="AJ87" s="184">
        <f t="shared" si="31"/>
        <v>-575684.52087597642</v>
      </c>
      <c r="AK87" s="184">
        <f t="shared" si="31"/>
        <v>-393264.26124774612</v>
      </c>
      <c r="AL87" s="184">
        <f t="shared" si="31"/>
        <v>-312118.68512853119</v>
      </c>
    </row>
    <row r="88" spans="2:38" s="168" customFormat="1" x14ac:dyDescent="0.3">
      <c r="B88" s="169"/>
      <c r="C88" s="180"/>
      <c r="D88" s="179" t="s">
        <v>830</v>
      </c>
      <c r="E88" s="182">
        <f>E72*$D$87</f>
        <v>6735935.2191655152</v>
      </c>
      <c r="F88" s="195">
        <f t="shared" ref="F88:H88" si="108">F72*$D$87</f>
        <v>187298.77460091328</v>
      </c>
      <c r="G88" s="183">
        <f t="shared" si="108"/>
        <v>17107.732919609152</v>
      </c>
      <c r="H88" s="184">
        <f t="shared" si="108"/>
        <v>2704.4955291289598</v>
      </c>
      <c r="I88" s="168" t="s">
        <v>834</v>
      </c>
      <c r="J88" s="101">
        <f>J71*$D$87</f>
        <v>268085.61712920445</v>
      </c>
      <c r="K88" s="101">
        <f t="shared" ref="K88:M89" si="109">K71*$D$87</f>
        <v>8868.5054176813501</v>
      </c>
      <c r="L88" s="101">
        <f t="shared" si="109"/>
        <v>959.23706297671094</v>
      </c>
      <c r="M88" s="101">
        <f t="shared" si="109"/>
        <v>156.99575705627728</v>
      </c>
      <c r="O88" s="182">
        <f t="shared" ref="O88:O89" si="110">E$88-J88</f>
        <v>6467849.6020363104</v>
      </c>
      <c r="P88" s="195">
        <f t="shared" si="107"/>
        <v>178430.26918323193</v>
      </c>
      <c r="Q88" s="183">
        <f t="shared" si="107"/>
        <v>16148.495856632442</v>
      </c>
      <c r="R88" s="184">
        <f t="shared" si="107"/>
        <v>2547.4997720726824</v>
      </c>
      <c r="T88" s="182">
        <f t="shared" si="40"/>
        <v>6362071.0908406852</v>
      </c>
      <c r="U88" s="195">
        <f t="shared" si="41"/>
        <v>163493.87006910692</v>
      </c>
      <c r="V88" s="184">
        <f t="shared" si="42"/>
        <v>3729.6322270136916</v>
      </c>
      <c r="W88" s="184">
        <f t="shared" si="43"/>
        <v>-9727.3774815141987</v>
      </c>
      <c r="X88" s="212"/>
      <c r="Y88" s="182">
        <f t="shared" si="44"/>
        <v>6256901.2224356858</v>
      </c>
      <c r="Z88" s="183">
        <f t="shared" si="45"/>
        <v>152780.52138810692</v>
      </c>
      <c r="AA88" s="184">
        <f t="shared" si="46"/>
        <v>-4366.0137751363582</v>
      </c>
      <c r="AB88" s="184">
        <f t="shared" si="47"/>
        <v>-17673.30820672922</v>
      </c>
      <c r="AC88" s="212"/>
      <c r="AD88" s="195">
        <f t="shared" si="48"/>
        <v>562420.91018809006</v>
      </c>
      <c r="AE88" s="184">
        <f t="shared" si="49"/>
        <v>-1625842.8780659025</v>
      </c>
      <c r="AF88" s="184">
        <f t="shared" si="50"/>
        <v>-690486.73134305992</v>
      </c>
      <c r="AG88" s="184">
        <f t="shared" si="51"/>
        <v>-345086.43637088686</v>
      </c>
      <c r="AI88" s="182">
        <f t="shared" si="37"/>
        <v>2551371.1864311844</v>
      </c>
      <c r="AJ88" s="184">
        <f t="shared" si="31"/>
        <v>-565069.39740291913</v>
      </c>
      <c r="AK88" s="184">
        <f t="shared" si="31"/>
        <v>-392144.18990659597</v>
      </c>
      <c r="AL88" s="184">
        <f t="shared" si="31"/>
        <v>-311937.26510016865</v>
      </c>
    </row>
    <row r="89" spans="2:38" s="168" customFormat="1" x14ac:dyDescent="0.3">
      <c r="B89" s="169"/>
      <c r="C89" s="180"/>
      <c r="D89" s="179" t="s">
        <v>831</v>
      </c>
      <c r="E89" s="195">
        <f>E72*$C$87</f>
        <v>590322.81955542252</v>
      </c>
      <c r="F89" s="183">
        <f t="shared" ref="F89:H89" si="111">F72*$C$87</f>
        <v>16414.460223295362</v>
      </c>
      <c r="G89" s="184">
        <f t="shared" si="111"/>
        <v>1499.2847770522242</v>
      </c>
      <c r="H89" s="184">
        <f t="shared" si="111"/>
        <v>237.01614909952002</v>
      </c>
      <c r="I89" s="8" t="s">
        <v>835</v>
      </c>
      <c r="J89" s="170">
        <f>J72*$D$87</f>
        <v>60240.772801967243</v>
      </c>
      <c r="K89" s="170">
        <f t="shared" si="109"/>
        <v>1950.1004872965302</v>
      </c>
      <c r="L89" s="170">
        <f t="shared" si="109"/>
        <v>206.20773464059027</v>
      </c>
      <c r="M89" s="170">
        <f t="shared" si="109"/>
        <v>33.851356548219968</v>
      </c>
      <c r="N89" s="8"/>
      <c r="O89" s="194">
        <f t="shared" si="110"/>
        <v>6675694.4463635478</v>
      </c>
      <c r="P89" s="196">
        <f t="shared" si="107"/>
        <v>185348.67411361675</v>
      </c>
      <c r="Q89" s="193">
        <f t="shared" si="107"/>
        <v>16901.525184968563</v>
      </c>
      <c r="R89" s="197">
        <f t="shared" si="107"/>
        <v>2670.6441725807399</v>
      </c>
      <c r="S89" s="8"/>
      <c r="T89" s="194">
        <f t="shared" si="40"/>
        <v>6569915.9351679226</v>
      </c>
      <c r="U89" s="196">
        <f t="shared" si="41"/>
        <v>170412.27499949175</v>
      </c>
      <c r="V89" s="197">
        <f t="shared" si="42"/>
        <v>4482.6615553498123</v>
      </c>
      <c r="W89" s="197">
        <f t="shared" si="43"/>
        <v>-9604.2330810061412</v>
      </c>
      <c r="X89" s="8"/>
      <c r="Y89" s="194">
        <f t="shared" si="44"/>
        <v>6464746.0667629233</v>
      </c>
      <c r="Z89" s="193">
        <f t="shared" si="45"/>
        <v>159698.92631849175</v>
      </c>
      <c r="AA89" s="197">
        <f t="shared" si="46"/>
        <v>-3612.9844468002375</v>
      </c>
      <c r="AB89" s="197">
        <f t="shared" si="47"/>
        <v>-17550.163806221164</v>
      </c>
      <c r="AC89" s="8"/>
      <c r="AD89" s="196">
        <f t="shared" si="48"/>
        <v>770265.75451532751</v>
      </c>
      <c r="AE89" s="197">
        <f t="shared" si="49"/>
        <v>-1618924.4731355177</v>
      </c>
      <c r="AF89" s="197">
        <f t="shared" si="50"/>
        <v>-689733.70201472379</v>
      </c>
      <c r="AG89" s="197">
        <f t="shared" si="51"/>
        <v>-344963.29197037884</v>
      </c>
      <c r="AI89" s="194">
        <f t="shared" si="37"/>
        <v>2759216.0307584219</v>
      </c>
      <c r="AJ89" s="197">
        <f t="shared" si="31"/>
        <v>-558150.9924725343</v>
      </c>
      <c r="AK89" s="197">
        <f t="shared" si="31"/>
        <v>-391391.16057825985</v>
      </c>
      <c r="AL89" s="197">
        <f t="shared" si="31"/>
        <v>-311814.12069966062</v>
      </c>
    </row>
    <row r="90" spans="2:38" s="217" customFormat="1" x14ac:dyDescent="0.3">
      <c r="B90" s="218"/>
      <c r="C90" s="180"/>
      <c r="D90" s="179"/>
      <c r="E90" s="195"/>
      <c r="F90" s="183"/>
      <c r="G90" s="184"/>
      <c r="H90" s="184"/>
      <c r="I90" s="145" t="s">
        <v>976</v>
      </c>
      <c r="J90" s="208">
        <f>J69*$D$91</f>
        <v>162885.26636364369</v>
      </c>
      <c r="K90" s="208">
        <f t="shared" ref="K90:M90" si="112">K69*$D$91</f>
        <v>5084.9368951476481</v>
      </c>
      <c r="L90" s="208">
        <f t="shared" si="112"/>
        <v>532.69280803774905</v>
      </c>
      <c r="M90" s="208">
        <f t="shared" si="112"/>
        <v>85.97820950045886</v>
      </c>
      <c r="N90" s="207"/>
      <c r="O90" s="182">
        <f>E$92-J90</f>
        <v>859428.75558167405</v>
      </c>
      <c r="P90" s="183">
        <f t="shared" ref="P90:R90" si="113">F$92-K90</f>
        <v>23341.429650492995</v>
      </c>
      <c r="Q90" s="184">
        <f t="shared" si="113"/>
        <v>2063.7506965924276</v>
      </c>
      <c r="R90" s="184">
        <f t="shared" si="113"/>
        <v>324.48353215202121</v>
      </c>
      <c r="S90" s="207"/>
      <c r="T90" s="195">
        <f t="shared" ref="T90" si="114">O90-T$73</f>
        <v>753650.24438604899</v>
      </c>
      <c r="U90" s="183">
        <f t="shared" ref="U90" si="115">P90-U$73</f>
        <v>8405.0305363679945</v>
      </c>
      <c r="V90" s="184">
        <f t="shared" ref="V90" si="116">Q90-V$73</f>
        <v>-10355.112933026323</v>
      </c>
      <c r="W90" s="184">
        <f t="shared" ref="W90" si="117">R90-W$73</f>
        <v>-11950.393721434861</v>
      </c>
      <c r="X90" s="207"/>
      <c r="Y90" s="195">
        <f t="shared" ref="Y90" si="118">O90-Y$73</f>
        <v>648480.37598104903</v>
      </c>
      <c r="Z90" s="184">
        <f t="shared" ref="Z90" si="119">P90-Z$73</f>
        <v>-2308.318144632005</v>
      </c>
      <c r="AA90" s="184">
        <f t="shared" ref="AA90" si="120">Q90-AA$73</f>
        <v>-18450.758935176375</v>
      </c>
      <c r="AB90" s="184">
        <f t="shared" ref="AB90" si="121">R90-AB$73</f>
        <v>-19896.32444664988</v>
      </c>
      <c r="AC90" s="207"/>
      <c r="AD90" s="184">
        <f t="shared" ref="AD90" si="122">O90-AD$73</f>
        <v>-5045999.9362665461</v>
      </c>
      <c r="AE90" s="184">
        <f t="shared" ref="AE90" si="123">P90-AE$73</f>
        <v>-1780931.7175986415</v>
      </c>
      <c r="AF90" s="184">
        <f t="shared" ref="AF90" si="124">Q90-AF$73</f>
        <v>-704571.47650310001</v>
      </c>
      <c r="AG90" s="184">
        <f t="shared" ref="AG90" si="125">R90-AG$73</f>
        <v>-347309.45261080755</v>
      </c>
      <c r="AI90" s="184">
        <f t="shared" si="37"/>
        <v>-3057049.6600234518</v>
      </c>
      <c r="AJ90" s="184">
        <f t="shared" ref="AJ90:AJ97" si="126">P90-AJ$73</f>
        <v>-720158.23693565803</v>
      </c>
      <c r="AK90" s="184">
        <f t="shared" ref="AK90:AK97" si="127">Q90-AK$73</f>
        <v>-406228.93506663595</v>
      </c>
      <c r="AL90" s="184">
        <f t="shared" ref="AL90:AL97" si="128">R90-AL$73</f>
        <v>-314160.28134008934</v>
      </c>
    </row>
    <row r="91" spans="2:38" x14ac:dyDescent="0.3">
      <c r="B91" s="169" t="s">
        <v>894</v>
      </c>
      <c r="C91" s="180">
        <v>2.1999999999999999E-5</v>
      </c>
      <c r="D91" s="180">
        <v>5.2300000000000003E-4</v>
      </c>
      <c r="I91" s="168" t="s">
        <v>833</v>
      </c>
      <c r="J91" s="101">
        <f>J70*$D$91</f>
        <v>91560.967331142019</v>
      </c>
      <c r="K91" s="101">
        <f t="shared" ref="K91:M91" si="129">K70*$D$91</f>
        <v>2957.0336360581459</v>
      </c>
      <c r="L91" s="101">
        <f t="shared" si="129"/>
        <v>315.57698646499165</v>
      </c>
      <c r="M91" s="101">
        <f t="shared" si="129"/>
        <v>51.361420712133921</v>
      </c>
      <c r="O91" s="182">
        <f>E$92-J91</f>
        <v>930753.05461417569</v>
      </c>
      <c r="P91" s="183">
        <f t="shared" ref="P91:R93" si="130">F$92-K91</f>
        <v>25469.332909582496</v>
      </c>
      <c r="Q91" s="184">
        <f t="shared" si="130"/>
        <v>2280.866518165185</v>
      </c>
      <c r="R91" s="184">
        <f t="shared" si="130"/>
        <v>359.10032094034614</v>
      </c>
      <c r="T91" s="195">
        <f t="shared" si="40"/>
        <v>824974.54341855063</v>
      </c>
      <c r="U91" s="183">
        <f t="shared" si="41"/>
        <v>10532.933795457495</v>
      </c>
      <c r="V91" s="184">
        <f t="shared" si="42"/>
        <v>-10137.997111453566</v>
      </c>
      <c r="W91" s="184">
        <f t="shared" si="43"/>
        <v>-11915.776932646535</v>
      </c>
      <c r="X91" s="212"/>
      <c r="Y91" s="195">
        <f t="shared" si="44"/>
        <v>719804.67501355067</v>
      </c>
      <c r="Z91" s="184">
        <f t="shared" si="45"/>
        <v>-180.41488554250463</v>
      </c>
      <c r="AA91" s="184">
        <f t="shared" si="46"/>
        <v>-18233.643113603615</v>
      </c>
      <c r="AB91" s="184">
        <f t="shared" si="47"/>
        <v>-19861.707657861556</v>
      </c>
      <c r="AC91" s="212"/>
      <c r="AD91" s="184">
        <f t="shared" si="48"/>
        <v>-4974675.6372340443</v>
      </c>
      <c r="AE91" s="184">
        <f t="shared" si="49"/>
        <v>-1778803.8143395521</v>
      </c>
      <c r="AF91" s="184">
        <f t="shared" si="50"/>
        <v>-704354.36068152718</v>
      </c>
      <c r="AG91" s="184">
        <f t="shared" si="51"/>
        <v>-347274.8358220192</v>
      </c>
      <c r="AI91" s="184">
        <f t="shared" si="37"/>
        <v>-2985725.3609909504</v>
      </c>
      <c r="AJ91" s="184">
        <f t="shared" si="126"/>
        <v>-718030.33367656847</v>
      </c>
      <c r="AK91" s="184">
        <f t="shared" si="127"/>
        <v>-406011.81924506323</v>
      </c>
      <c r="AL91" s="184">
        <f t="shared" si="128"/>
        <v>-314125.66455130099</v>
      </c>
    </row>
    <row r="92" spans="2:38" s="168" customFormat="1" x14ac:dyDescent="0.3">
      <c r="B92" s="169"/>
      <c r="C92" s="180"/>
      <c r="D92" s="179" t="s">
        <v>830</v>
      </c>
      <c r="E92" s="182">
        <f>E72*$D$91</f>
        <v>1022314.0219453177</v>
      </c>
      <c r="F92" s="183">
        <f t="shared" ref="F92:H92" si="131">F72*$D$91</f>
        <v>28426.366545640642</v>
      </c>
      <c r="G92" s="184">
        <f t="shared" si="131"/>
        <v>2596.4435046301764</v>
      </c>
      <c r="H92" s="184">
        <f t="shared" si="131"/>
        <v>410.46174165248004</v>
      </c>
      <c r="I92" s="168" t="s">
        <v>834</v>
      </c>
      <c r="J92" s="101">
        <f>J71*$D$91</f>
        <v>40687.399233480544</v>
      </c>
      <c r="K92" s="101">
        <f t="shared" ref="K92:M93" si="132">K71*$D$91</f>
        <v>1345.9745599092705</v>
      </c>
      <c r="L92" s="101">
        <f t="shared" si="132"/>
        <v>145.58357049820657</v>
      </c>
      <c r="M92" s="101">
        <f t="shared" si="132"/>
        <v>23.827272472557468</v>
      </c>
      <c r="O92" s="182">
        <f t="shared" ref="O92:O93" si="133">E$92-J92</f>
        <v>981626.62271183718</v>
      </c>
      <c r="P92" s="183">
        <f t="shared" si="130"/>
        <v>27080.39198573137</v>
      </c>
      <c r="Q92" s="184">
        <f t="shared" si="130"/>
        <v>2450.85993413197</v>
      </c>
      <c r="R92" s="184">
        <f t="shared" si="130"/>
        <v>386.63446917992258</v>
      </c>
      <c r="T92" s="195">
        <f t="shared" si="40"/>
        <v>875848.11151621211</v>
      </c>
      <c r="U92" s="183">
        <f t="shared" si="41"/>
        <v>12143.99287160637</v>
      </c>
      <c r="V92" s="184">
        <f t="shared" si="42"/>
        <v>-9968.003695486781</v>
      </c>
      <c r="W92" s="184">
        <f t="shared" si="43"/>
        <v>-11888.242784406959</v>
      </c>
      <c r="X92" s="212"/>
      <c r="Y92" s="195">
        <f t="shared" si="44"/>
        <v>770678.24311121216</v>
      </c>
      <c r="Z92" s="184">
        <f t="shared" si="45"/>
        <v>1430.6441906063701</v>
      </c>
      <c r="AA92" s="184">
        <f t="shared" si="46"/>
        <v>-18063.649697636829</v>
      </c>
      <c r="AB92" s="184">
        <f t="shared" si="47"/>
        <v>-19834.173509621978</v>
      </c>
      <c r="AC92" s="212"/>
      <c r="AD92" s="184">
        <f t="shared" si="48"/>
        <v>-4923802.069136383</v>
      </c>
      <c r="AE92" s="184">
        <f t="shared" si="49"/>
        <v>-1777192.7552634031</v>
      </c>
      <c r="AF92" s="184">
        <f t="shared" si="50"/>
        <v>-704184.36726556043</v>
      </c>
      <c r="AG92" s="184">
        <f t="shared" si="51"/>
        <v>-347247.30167377967</v>
      </c>
      <c r="AI92" s="184">
        <f t="shared" si="37"/>
        <v>-2934851.7928932887</v>
      </c>
      <c r="AJ92" s="184">
        <f t="shared" si="126"/>
        <v>-716419.27460041968</v>
      </c>
      <c r="AK92" s="184">
        <f t="shared" si="127"/>
        <v>-405841.82582909643</v>
      </c>
      <c r="AL92" s="184">
        <f t="shared" si="128"/>
        <v>-314098.13040306146</v>
      </c>
    </row>
    <row r="93" spans="2:38" s="168" customFormat="1" x14ac:dyDescent="0.3">
      <c r="B93" s="169"/>
      <c r="C93" s="180"/>
      <c r="D93" s="179" t="s">
        <v>831</v>
      </c>
      <c r="E93" s="183">
        <f>E72*$C$91</f>
        <v>43003.649106686404</v>
      </c>
      <c r="F93" s="184">
        <f t="shared" ref="F93:H93" si="134">F72*$C$91</f>
        <v>1195.7553805049599</v>
      </c>
      <c r="G93" s="184">
        <f t="shared" si="134"/>
        <v>109.219420844864</v>
      </c>
      <c r="H93" s="184">
        <f t="shared" si="134"/>
        <v>17.266077086719999</v>
      </c>
      <c r="I93" s="8" t="s">
        <v>835</v>
      </c>
      <c r="J93" s="170">
        <f>J72*$D$91</f>
        <v>9142.7522273444192</v>
      </c>
      <c r="K93" s="170">
        <f t="shared" si="132"/>
        <v>295.96707918052391</v>
      </c>
      <c r="L93" s="170">
        <f t="shared" si="132"/>
        <v>31.296182593450009</v>
      </c>
      <c r="M93" s="170">
        <f t="shared" si="132"/>
        <v>5.1376260808819048</v>
      </c>
      <c r="N93" s="8"/>
      <c r="O93" s="194">
        <f t="shared" si="133"/>
        <v>1013171.2697179733</v>
      </c>
      <c r="P93" s="193">
        <f t="shared" si="130"/>
        <v>28130.399466460116</v>
      </c>
      <c r="Q93" s="197">
        <f t="shared" si="130"/>
        <v>2565.1473220367266</v>
      </c>
      <c r="R93" s="197">
        <f t="shared" si="130"/>
        <v>405.32411557159816</v>
      </c>
      <c r="S93" s="8"/>
      <c r="T93" s="196">
        <f t="shared" si="40"/>
        <v>907392.75852234825</v>
      </c>
      <c r="U93" s="193">
        <f t="shared" si="41"/>
        <v>13194.000352335115</v>
      </c>
      <c r="V93" s="197">
        <f t="shared" si="42"/>
        <v>-9853.7163075820245</v>
      </c>
      <c r="W93" s="197">
        <f t="shared" si="43"/>
        <v>-11869.553138015282</v>
      </c>
      <c r="X93" s="8"/>
      <c r="Y93" s="196">
        <f t="shared" si="44"/>
        <v>802222.89011734829</v>
      </c>
      <c r="Z93" s="197">
        <f t="shared" si="45"/>
        <v>2480.6516713351157</v>
      </c>
      <c r="AA93" s="197">
        <f t="shared" si="46"/>
        <v>-17949.362309732074</v>
      </c>
      <c r="AB93" s="197">
        <f t="shared" si="47"/>
        <v>-19815.483863230304</v>
      </c>
      <c r="AC93" s="8"/>
      <c r="AD93" s="197">
        <f t="shared" si="48"/>
        <v>-4892257.4221302466</v>
      </c>
      <c r="AE93" s="197">
        <f t="shared" si="49"/>
        <v>-1776142.7477826744</v>
      </c>
      <c r="AF93" s="197">
        <f t="shared" si="50"/>
        <v>-704070.07987765572</v>
      </c>
      <c r="AG93" s="197">
        <f t="shared" si="51"/>
        <v>-347228.61202738795</v>
      </c>
      <c r="AI93" s="197">
        <f t="shared" si="37"/>
        <v>-2903307.1458871528</v>
      </c>
      <c r="AJ93" s="197">
        <f t="shared" si="126"/>
        <v>-715369.26711969089</v>
      </c>
      <c r="AK93" s="197">
        <f t="shared" si="127"/>
        <v>-405727.53844119166</v>
      </c>
      <c r="AL93" s="197">
        <f t="shared" si="128"/>
        <v>-314079.44075666973</v>
      </c>
    </row>
    <row r="94" spans="2:38" s="217" customFormat="1" x14ac:dyDescent="0.3">
      <c r="B94" s="218"/>
      <c r="C94" s="180"/>
      <c r="D94" s="179"/>
      <c r="E94" s="183"/>
      <c r="F94" s="184"/>
      <c r="G94" s="184"/>
      <c r="H94" s="184"/>
      <c r="I94" s="145" t="s">
        <v>976</v>
      </c>
      <c r="J94" s="208">
        <f>J69*$D$95</f>
        <v>934.33231183734426</v>
      </c>
      <c r="K94" s="208">
        <f t="shared" ref="K94:M94" si="135">K69*$D$95</f>
        <v>29.167898060120351</v>
      </c>
      <c r="L94" s="208">
        <f t="shared" si="135"/>
        <v>3.0555992812872792</v>
      </c>
      <c r="M94" s="208">
        <f t="shared" si="135"/>
        <v>0.493182846082938</v>
      </c>
      <c r="N94" s="207"/>
      <c r="O94" s="184">
        <f>E$96-J94</f>
        <v>4929.8016572562565</v>
      </c>
      <c r="P94" s="184">
        <f t="shared" ref="P94:R94" si="136">F$96-K94</f>
        <v>133.88965382691964</v>
      </c>
      <c r="Q94" s="184">
        <f t="shared" si="136"/>
        <v>11.837958106648722</v>
      </c>
      <c r="R94" s="184">
        <f t="shared" si="136"/>
        <v>1.8612822111970622</v>
      </c>
      <c r="S94" s="207"/>
      <c r="T94" s="184">
        <f t="shared" ref="T94" si="137">O94-T$73</f>
        <v>-100848.70953836874</v>
      </c>
      <c r="U94" s="184">
        <f t="shared" ref="U94" si="138">P94-U$73</f>
        <v>-14802.509460298081</v>
      </c>
      <c r="V94" s="184">
        <f t="shared" ref="V94" si="139">Q94-V$73</f>
        <v>-12407.025671512101</v>
      </c>
      <c r="W94" s="184">
        <f t="shared" ref="W94" si="140">R94-W$73</f>
        <v>-12273.015971375684</v>
      </c>
      <c r="X94" s="207"/>
      <c r="Y94" s="184">
        <f t="shared" ref="Y94" si="141">O94-Y$73</f>
        <v>-206018.57794336873</v>
      </c>
      <c r="Z94" s="184">
        <f t="shared" ref="Z94" si="142">P94-Z$73</f>
        <v>-25515.858141298082</v>
      </c>
      <c r="AA94" s="184">
        <f t="shared" ref="AA94" si="143">Q94-AA$73</f>
        <v>-20502.671673662153</v>
      </c>
      <c r="AB94" s="184">
        <f t="shared" ref="AB94" si="144">R94-AB$73</f>
        <v>-20218.946696590705</v>
      </c>
      <c r="AC94" s="207"/>
      <c r="AD94" s="184">
        <f t="shared" ref="AD94" si="145">O94-AD$73</f>
        <v>-5900498.8901909636</v>
      </c>
      <c r="AE94" s="184">
        <f t="shared" ref="AE94" si="146">P94-AE$73</f>
        <v>-1804139.2575953077</v>
      </c>
      <c r="AF94" s="184">
        <f t="shared" ref="AF94" si="147">Q94-AF$73</f>
        <v>-706623.38924158574</v>
      </c>
      <c r="AG94" s="184">
        <f t="shared" ref="AG94" si="148">R94-AG$73</f>
        <v>-347632.07486074837</v>
      </c>
      <c r="AI94" s="184">
        <f t="shared" si="37"/>
        <v>-3911548.6139478697</v>
      </c>
      <c r="AJ94" s="184">
        <f t="shared" si="126"/>
        <v>-743365.77693232405</v>
      </c>
      <c r="AK94" s="184">
        <f t="shared" si="127"/>
        <v>-408280.84780512174</v>
      </c>
      <c r="AL94" s="184">
        <f t="shared" si="128"/>
        <v>-314482.90359003015</v>
      </c>
    </row>
    <row r="95" spans="2:38" x14ac:dyDescent="0.3">
      <c r="B95" s="169" t="s">
        <v>825</v>
      </c>
      <c r="C95" s="180">
        <v>3.0000000000000001E-6</v>
      </c>
      <c r="D95" s="180">
        <v>3.0000000000000001E-6</v>
      </c>
      <c r="I95" s="168" t="s">
        <v>833</v>
      </c>
      <c r="J95" s="101">
        <f>J70*$D$95</f>
        <v>525.2063135629561</v>
      </c>
      <c r="K95" s="101">
        <f t="shared" ref="K95:M95" si="149">K70*$D$95</f>
        <v>16.961952023278084</v>
      </c>
      <c r="L95" s="101">
        <f t="shared" si="149"/>
        <v>1.810193038996128</v>
      </c>
      <c r="M95" s="101">
        <f t="shared" si="149"/>
        <v>0.29461617999312001</v>
      </c>
      <c r="O95" s="184">
        <f>E$96-J95</f>
        <v>5338.9276555306451</v>
      </c>
      <c r="P95" s="184">
        <f t="shared" ref="P95:R97" si="150">F$96-K95</f>
        <v>146.09559986376192</v>
      </c>
      <c r="Q95" s="184">
        <f t="shared" si="150"/>
        <v>13.083364348939874</v>
      </c>
      <c r="R95" s="184">
        <f t="shared" si="150"/>
        <v>2.0598488772868802</v>
      </c>
      <c r="T95" s="184">
        <f t="shared" si="40"/>
        <v>-100439.58354009436</v>
      </c>
      <c r="U95" s="184">
        <f t="shared" si="41"/>
        <v>-14790.303514261239</v>
      </c>
      <c r="V95" s="184">
        <f t="shared" si="42"/>
        <v>-12405.78026526981</v>
      </c>
      <c r="W95" s="184">
        <f t="shared" si="43"/>
        <v>-12272.817404709594</v>
      </c>
      <c r="X95" s="212"/>
      <c r="Y95" s="184">
        <f t="shared" si="44"/>
        <v>-205609.45194509433</v>
      </c>
      <c r="Z95" s="184">
        <f t="shared" si="45"/>
        <v>-25503.652195261238</v>
      </c>
      <c r="AA95" s="184">
        <f t="shared" si="46"/>
        <v>-20501.426267419862</v>
      </c>
      <c r="AB95" s="184">
        <f t="shared" si="47"/>
        <v>-20218.748129924614</v>
      </c>
      <c r="AC95" s="212"/>
      <c r="AD95" s="184">
        <f t="shared" si="48"/>
        <v>-5900089.7641926892</v>
      </c>
      <c r="AE95" s="184">
        <f t="shared" si="49"/>
        <v>-1804127.0516492708</v>
      </c>
      <c r="AF95" s="184">
        <f t="shared" si="50"/>
        <v>-706622.14383534342</v>
      </c>
      <c r="AG95" s="184">
        <f t="shared" si="51"/>
        <v>-347631.87629408226</v>
      </c>
      <c r="AI95" s="184">
        <f t="shared" si="37"/>
        <v>-3911139.4879495953</v>
      </c>
      <c r="AJ95" s="184">
        <f t="shared" si="126"/>
        <v>-743353.5709862872</v>
      </c>
      <c r="AK95" s="184">
        <f t="shared" si="127"/>
        <v>-408279.60239887948</v>
      </c>
      <c r="AL95" s="184">
        <f t="shared" si="128"/>
        <v>-314482.70502336405</v>
      </c>
    </row>
    <row r="96" spans="2:38" x14ac:dyDescent="0.3">
      <c r="D96" s="179" t="s">
        <v>830</v>
      </c>
      <c r="E96" s="184">
        <f>E72*$D$95</f>
        <v>5864.1339690936011</v>
      </c>
      <c r="F96" s="184">
        <f t="shared" ref="F96:H96" si="151">F72*$D$95</f>
        <v>163.05755188704001</v>
      </c>
      <c r="G96" s="184">
        <f t="shared" si="151"/>
        <v>14.893557387936001</v>
      </c>
      <c r="H96" s="184">
        <f t="shared" si="151"/>
        <v>2.3544650572800001</v>
      </c>
      <c r="I96" s="168" t="s">
        <v>834</v>
      </c>
      <c r="J96" s="101">
        <f>J71*$D$95</f>
        <v>233.38852332780425</v>
      </c>
      <c r="K96" s="101">
        <f t="shared" ref="K96:M97" si="152">K71*$D$95</f>
        <v>7.7206953723285112</v>
      </c>
      <c r="L96" s="101">
        <f t="shared" si="152"/>
        <v>0.83508740247537228</v>
      </c>
      <c r="M96" s="101">
        <f t="shared" si="152"/>
        <v>0.13667651513895296</v>
      </c>
      <c r="O96" s="184">
        <f t="shared" ref="O96:O97" si="153">E$96-J96</f>
        <v>5630.7454457657968</v>
      </c>
      <c r="P96" s="184">
        <f t="shared" si="150"/>
        <v>155.33685651471149</v>
      </c>
      <c r="Q96" s="184">
        <f t="shared" si="150"/>
        <v>14.058469985460629</v>
      </c>
      <c r="R96" s="184">
        <f t="shared" si="150"/>
        <v>2.2177885421410473</v>
      </c>
      <c r="T96" s="184">
        <f t="shared" si="40"/>
        <v>-100147.7657498592</v>
      </c>
      <c r="U96" s="184">
        <f t="shared" si="41"/>
        <v>-14781.062257610289</v>
      </c>
      <c r="V96" s="184">
        <f t="shared" si="42"/>
        <v>-12404.80515963329</v>
      </c>
      <c r="W96" s="184">
        <f t="shared" si="43"/>
        <v>-12272.659465044741</v>
      </c>
      <c r="X96" s="212"/>
      <c r="Y96" s="184">
        <f t="shared" si="44"/>
        <v>-205317.6341548592</v>
      </c>
      <c r="Z96" s="184">
        <f t="shared" si="45"/>
        <v>-25494.41093861029</v>
      </c>
      <c r="AA96" s="184">
        <f t="shared" si="46"/>
        <v>-20500.451161783341</v>
      </c>
      <c r="AB96" s="184">
        <f t="shared" si="47"/>
        <v>-20218.590190259762</v>
      </c>
      <c r="AC96" s="212"/>
      <c r="AD96" s="184">
        <f t="shared" si="48"/>
        <v>-5899797.9464024547</v>
      </c>
      <c r="AE96" s="184">
        <f t="shared" si="49"/>
        <v>-1804117.8103926198</v>
      </c>
      <c r="AF96" s="184">
        <f t="shared" si="50"/>
        <v>-706621.1687297069</v>
      </c>
      <c r="AG96" s="184">
        <f t="shared" si="51"/>
        <v>-347631.71835441742</v>
      </c>
      <c r="AI96" s="184">
        <f t="shared" si="37"/>
        <v>-3910847.6701593599</v>
      </c>
      <c r="AJ96" s="184">
        <f t="shared" si="126"/>
        <v>-743344.32972963632</v>
      </c>
      <c r="AK96" s="184">
        <f t="shared" si="127"/>
        <v>-408278.62729324296</v>
      </c>
      <c r="AL96" s="184">
        <f t="shared" si="128"/>
        <v>-314482.5470836992</v>
      </c>
    </row>
    <row r="97" spans="4:38" x14ac:dyDescent="0.3">
      <c r="D97" s="179" t="s">
        <v>831</v>
      </c>
      <c r="E97" s="184">
        <f>E72*$C$95</f>
        <v>5864.1339690936011</v>
      </c>
      <c r="F97" s="184">
        <f t="shared" ref="F97:H97" si="154">F72*$C$95</f>
        <v>163.05755188704001</v>
      </c>
      <c r="G97" s="184">
        <f t="shared" si="154"/>
        <v>14.893557387936001</v>
      </c>
      <c r="H97" s="184">
        <f t="shared" si="154"/>
        <v>2.3544650572800001</v>
      </c>
      <c r="I97" s="8" t="s">
        <v>835</v>
      </c>
      <c r="J97" s="170">
        <f>J72*$D$95</f>
        <v>52.444085434098014</v>
      </c>
      <c r="K97" s="170">
        <f t="shared" si="152"/>
        <v>1.6977079111693532</v>
      </c>
      <c r="L97" s="170">
        <f t="shared" si="152"/>
        <v>0.17951921181711286</v>
      </c>
      <c r="M97" s="170">
        <f t="shared" si="152"/>
        <v>2.9470130483070199E-2</v>
      </c>
      <c r="N97" s="8"/>
      <c r="O97" s="197">
        <f t="shared" si="153"/>
        <v>5811.6898836595028</v>
      </c>
      <c r="P97" s="197">
        <f t="shared" si="150"/>
        <v>161.35984397587066</v>
      </c>
      <c r="Q97" s="197">
        <f t="shared" si="150"/>
        <v>14.714038176118889</v>
      </c>
      <c r="R97" s="197">
        <f t="shared" si="150"/>
        <v>2.3249949267969301</v>
      </c>
      <c r="S97" s="8"/>
      <c r="T97" s="197">
        <f t="shared" si="40"/>
        <v>-99966.821311965497</v>
      </c>
      <c r="U97" s="197">
        <f t="shared" si="41"/>
        <v>-14775.039270149131</v>
      </c>
      <c r="V97" s="197">
        <f t="shared" si="42"/>
        <v>-12404.149591442632</v>
      </c>
      <c r="W97" s="197">
        <f t="shared" si="43"/>
        <v>-12272.552258660084</v>
      </c>
      <c r="X97" s="8"/>
      <c r="Y97" s="197">
        <f t="shared" si="44"/>
        <v>-205136.68971696548</v>
      </c>
      <c r="Z97" s="197">
        <f t="shared" si="45"/>
        <v>-25488.387951149129</v>
      </c>
      <c r="AA97" s="197">
        <f t="shared" si="46"/>
        <v>-20499.79559359268</v>
      </c>
      <c r="AB97" s="197">
        <f t="shared" si="47"/>
        <v>-20218.482983875107</v>
      </c>
      <c r="AC97" s="8"/>
      <c r="AD97" s="197">
        <f t="shared" si="48"/>
        <v>-5899617.0019645607</v>
      </c>
      <c r="AE97" s="197">
        <f t="shared" si="49"/>
        <v>-1804111.7874051586</v>
      </c>
      <c r="AF97" s="197">
        <f t="shared" si="50"/>
        <v>-706620.51316151628</v>
      </c>
      <c r="AG97" s="197">
        <f t="shared" si="51"/>
        <v>-347631.61114803277</v>
      </c>
      <c r="AI97" s="197">
        <f t="shared" si="37"/>
        <v>-3910666.7257214664</v>
      </c>
      <c r="AJ97" s="197">
        <f t="shared" si="126"/>
        <v>-743338.30674217513</v>
      </c>
      <c r="AK97" s="197">
        <f t="shared" si="127"/>
        <v>-408277.97172505228</v>
      </c>
      <c r="AL97" s="197">
        <f t="shared" si="128"/>
        <v>-314482.43987731455</v>
      </c>
    </row>
    <row r="99" spans="4:38" x14ac:dyDescent="0.3">
      <c r="O99" t="s">
        <v>838</v>
      </c>
    </row>
    <row r="100" spans="4:38" x14ac:dyDescent="0.3">
      <c r="O100" t="s">
        <v>839</v>
      </c>
    </row>
    <row r="101" spans="4:38" x14ac:dyDescent="0.3">
      <c r="J101" s="86" t="s">
        <v>840</v>
      </c>
    </row>
    <row r="102" spans="4:38" x14ac:dyDescent="0.3">
      <c r="I102" s="217" t="s">
        <v>1015</v>
      </c>
      <c r="J102" s="86" t="s">
        <v>1013</v>
      </c>
      <c r="K102" s="168"/>
      <c r="L102" s="168"/>
      <c r="M102" s="168"/>
    </row>
    <row r="103" spans="4:38" x14ac:dyDescent="0.3">
      <c r="I103" s="186" t="s">
        <v>983</v>
      </c>
      <c r="J103" s="175">
        <v>311444103.94578141</v>
      </c>
      <c r="K103" s="175">
        <v>9722632.6867067832</v>
      </c>
      <c r="L103" s="175">
        <v>1018533.0937624264</v>
      </c>
      <c r="M103" s="175">
        <v>164394.282027646</v>
      </c>
    </row>
    <row r="104" spans="4:38" x14ac:dyDescent="0.3">
      <c r="I104" s="186" t="s">
        <v>833</v>
      </c>
      <c r="J104" s="175">
        <v>175068771.18765202</v>
      </c>
      <c r="K104" s="175">
        <v>5653984.0077593606</v>
      </c>
      <c r="L104" s="175">
        <v>603397.67966537597</v>
      </c>
      <c r="M104" s="175">
        <v>98205.393331040003</v>
      </c>
    </row>
    <row r="105" spans="4:38" x14ac:dyDescent="0.3">
      <c r="I105" s="186" t="s">
        <v>834</v>
      </c>
      <c r="J105" s="175">
        <v>77796174.442601413</v>
      </c>
      <c r="K105" s="175">
        <v>2573565.1241095038</v>
      </c>
      <c r="L105" s="175">
        <v>278362.46749179077</v>
      </c>
      <c r="M105" s="175">
        <v>45558.838379650988</v>
      </c>
      <c r="O105" s="86" t="s">
        <v>840</v>
      </c>
      <c r="P105" s="168"/>
      <c r="Q105" s="168"/>
      <c r="R105" s="168"/>
      <c r="T105" s="86" t="s">
        <v>912</v>
      </c>
      <c r="AD105" s="240" t="s">
        <v>1016</v>
      </c>
      <c r="AE105" s="240"/>
      <c r="AF105" s="240"/>
      <c r="AG105" s="240"/>
      <c r="AH105" s="240"/>
      <c r="AI105" s="240" t="s">
        <v>1017</v>
      </c>
      <c r="AJ105" s="217"/>
      <c r="AK105" s="217"/>
      <c r="AL105" s="217"/>
    </row>
    <row r="106" spans="4:38" x14ac:dyDescent="0.3">
      <c r="I106" s="186" t="s">
        <v>835</v>
      </c>
      <c r="J106" s="175">
        <v>17481361.811366003</v>
      </c>
      <c r="K106" s="175">
        <v>565902.63705645106</v>
      </c>
      <c r="L106" s="175">
        <v>59839.737272370949</v>
      </c>
      <c r="M106" s="175">
        <v>9823.3768276900664</v>
      </c>
      <c r="O106" s="256" t="s">
        <v>1014</v>
      </c>
      <c r="P106" s="256"/>
      <c r="Q106" s="256"/>
      <c r="R106" s="256"/>
      <c r="T106" s="214" t="s">
        <v>944</v>
      </c>
      <c r="U106" s="214"/>
      <c r="V106" s="214"/>
      <c r="W106" s="214"/>
      <c r="X106" s="214"/>
      <c r="Y106" s="214" t="s">
        <v>943</v>
      </c>
      <c r="Z106" s="212"/>
      <c r="AA106" s="212"/>
      <c r="AB106" s="212"/>
      <c r="AC106" s="212"/>
      <c r="AD106" s="214" t="s">
        <v>947</v>
      </c>
      <c r="AE106" s="212"/>
      <c r="AF106" s="212"/>
      <c r="AG106" s="212"/>
      <c r="AI106" s="217" t="s">
        <v>947</v>
      </c>
      <c r="AJ106" s="217"/>
      <c r="AK106" s="217"/>
      <c r="AL106" s="217"/>
    </row>
    <row r="107" spans="4:38" x14ac:dyDescent="0.3">
      <c r="H107" s="176" t="s">
        <v>821</v>
      </c>
      <c r="I107" s="238" t="s">
        <v>837</v>
      </c>
      <c r="J107" s="188" t="s">
        <v>826</v>
      </c>
      <c r="K107" s="188" t="s">
        <v>827</v>
      </c>
      <c r="L107" s="188" t="s">
        <v>828</v>
      </c>
      <c r="M107" s="188" t="s">
        <v>829</v>
      </c>
      <c r="N107" s="8"/>
      <c r="O107" s="188" t="s">
        <v>826</v>
      </c>
      <c r="P107" s="188" t="s">
        <v>827</v>
      </c>
      <c r="Q107" s="188" t="s">
        <v>828</v>
      </c>
      <c r="R107" s="188" t="s">
        <v>829</v>
      </c>
      <c r="S107" s="8"/>
      <c r="T107" s="170">
        <v>105778.511195625</v>
      </c>
      <c r="U107" s="170">
        <v>14936.399114125001</v>
      </c>
      <c r="V107" s="170">
        <v>12418.863629618751</v>
      </c>
      <c r="W107" s="170">
        <v>12274.877253586881</v>
      </c>
      <c r="X107" s="8"/>
      <c r="Y107" s="170">
        <v>210948.37960062499</v>
      </c>
      <c r="Z107" s="170">
        <v>25649.747795125</v>
      </c>
      <c r="AA107" s="170">
        <v>20514.5096317688</v>
      </c>
      <c r="AB107" s="170">
        <v>20220.807978801902</v>
      </c>
      <c r="AC107" s="8"/>
      <c r="AD107" s="170">
        <v>5905428.6918482203</v>
      </c>
      <c r="AE107" s="170">
        <v>1804273.1472491345</v>
      </c>
      <c r="AF107" s="170">
        <v>706635.2271996924</v>
      </c>
      <c r="AG107" s="170">
        <v>347633.93614295957</v>
      </c>
      <c r="AI107" s="170">
        <v>3916478.4156051259</v>
      </c>
      <c r="AJ107" s="170">
        <v>743499.666586151</v>
      </c>
      <c r="AK107" s="170">
        <v>408292.68576322839</v>
      </c>
      <c r="AL107" s="170">
        <v>314484.76487224136</v>
      </c>
    </row>
    <row r="108" spans="4:38" s="217" customFormat="1" x14ac:dyDescent="0.3">
      <c r="H108" s="225"/>
      <c r="I108" s="145" t="s">
        <v>983</v>
      </c>
      <c r="J108" s="101">
        <f>$C$75*J103</f>
        <v>311444103.94578141</v>
      </c>
      <c r="K108" s="101">
        <f t="shared" ref="K108:M108" si="155">$C$75*K103</f>
        <v>9722632.6867067832</v>
      </c>
      <c r="L108" s="101">
        <f t="shared" si="155"/>
        <v>1018533.0937624264</v>
      </c>
      <c r="M108" s="101">
        <f t="shared" si="155"/>
        <v>164394.282027646</v>
      </c>
      <c r="N108" s="207"/>
      <c r="O108" s="182">
        <f>E$77-J108</f>
        <v>1643267219.0854187</v>
      </c>
      <c r="P108" s="182">
        <f t="shared" ref="P108" si="156">F$77-K108</f>
        <v>44629884.60897322</v>
      </c>
      <c r="Q108" s="182">
        <f t="shared" ref="Q108" si="157">G$77-L108</f>
        <v>3945986.0355495736</v>
      </c>
      <c r="R108" s="195">
        <f t="shared" ref="R108" si="158">H$77-M108</f>
        <v>620427.40373235405</v>
      </c>
      <c r="S108" s="207"/>
      <c r="T108" s="182">
        <f>O108-T$107</f>
        <v>1643161440.574223</v>
      </c>
      <c r="U108" s="182">
        <f t="shared" ref="U108" si="159">P108-U$107</f>
        <v>44614948.209859096</v>
      </c>
      <c r="V108" s="182">
        <f t="shared" ref="V108" si="160">Q108-V$107</f>
        <v>3933567.1719199549</v>
      </c>
      <c r="W108" s="195">
        <f t="shared" ref="W108" si="161">R108-W$107</f>
        <v>608152.52647876716</v>
      </c>
      <c r="X108" s="207"/>
      <c r="Y108" s="182">
        <f>O108-Y$107</f>
        <v>1643056270.7058182</v>
      </c>
      <c r="Z108" s="182">
        <f t="shared" ref="Z108" si="162">P108-Z$107</f>
        <v>44604234.861178093</v>
      </c>
      <c r="AA108" s="182">
        <f t="shared" ref="AA108" si="163">Q108-AA$107</f>
        <v>3925471.5259178048</v>
      </c>
      <c r="AB108" s="195">
        <f t="shared" ref="AB108" si="164">R108-AB$107</f>
        <v>600206.59575355216</v>
      </c>
      <c r="AC108" s="207"/>
      <c r="AD108" s="182">
        <f>O108-AD$107</f>
        <v>1637361790.3935704</v>
      </c>
      <c r="AE108" s="182">
        <f t="shared" ref="AE108" si="165">P108-AE$107</f>
        <v>42825611.461724088</v>
      </c>
      <c r="AF108" s="182">
        <f t="shared" ref="AF108" si="166">Q108-AF$107</f>
        <v>3239350.8083498813</v>
      </c>
      <c r="AG108" s="195">
        <f t="shared" ref="AG108" si="167">R108-AG$107</f>
        <v>272793.46758939448</v>
      </c>
      <c r="AI108" s="182">
        <f>O108-AI$73</f>
        <v>1639350740.6698136</v>
      </c>
      <c r="AJ108" s="182">
        <f t="shared" ref="AJ108:AJ131" si="168">P108-AJ$73</f>
        <v>43886384.942387067</v>
      </c>
      <c r="AK108" s="182">
        <f t="shared" ref="AK108:AK131" si="169">Q108-AK$73</f>
        <v>3537693.3497863454</v>
      </c>
      <c r="AL108" s="195">
        <f t="shared" ref="AL108:AL131" si="170">R108-AL$73</f>
        <v>305942.6388601127</v>
      </c>
    </row>
    <row r="109" spans="4:38" x14ac:dyDescent="0.3">
      <c r="H109" s="169" t="s">
        <v>824</v>
      </c>
      <c r="I109" s="168" t="s">
        <v>833</v>
      </c>
      <c r="J109" s="101">
        <f>$C$75*J70</f>
        <v>175068771.18765202</v>
      </c>
      <c r="K109" s="101">
        <f t="shared" ref="K109:M109" si="171">$C$75*K70</f>
        <v>5653984.0077593606</v>
      </c>
      <c r="L109" s="101">
        <f t="shared" si="171"/>
        <v>603397.67966537597</v>
      </c>
      <c r="M109" s="101">
        <f t="shared" si="171"/>
        <v>98205.393331040003</v>
      </c>
      <c r="O109" s="182">
        <f>E$77-J109</f>
        <v>1779642551.8435481</v>
      </c>
      <c r="P109" s="182">
        <f t="shared" ref="P109:R111" si="172">F$77-K109</f>
        <v>48698533.287920639</v>
      </c>
      <c r="Q109" s="182">
        <f t="shared" si="172"/>
        <v>4361121.4496466238</v>
      </c>
      <c r="R109" s="195">
        <f t="shared" si="172"/>
        <v>686616.29242895998</v>
      </c>
      <c r="T109" s="182">
        <f>O109-T$107</f>
        <v>1779536773.3323524</v>
      </c>
      <c r="U109" s="182">
        <f t="shared" ref="U109:W109" si="173">P109-U$107</f>
        <v>48683596.888806514</v>
      </c>
      <c r="V109" s="182">
        <f t="shared" si="173"/>
        <v>4348702.5860170051</v>
      </c>
      <c r="W109" s="195">
        <f t="shared" si="173"/>
        <v>674341.41517537308</v>
      </c>
      <c r="Y109" s="182">
        <f>O109-Y$107</f>
        <v>1779431603.4639475</v>
      </c>
      <c r="Z109" s="182">
        <f t="shared" ref="Z109:AB109" si="174">P109-Z$107</f>
        <v>48672883.540125512</v>
      </c>
      <c r="AA109" s="182">
        <f t="shared" si="174"/>
        <v>4340606.940014855</v>
      </c>
      <c r="AB109" s="195">
        <f t="shared" si="174"/>
        <v>666395.48445015808</v>
      </c>
      <c r="AD109" s="182">
        <f>O109-AD$107</f>
        <v>1773737123.1516998</v>
      </c>
      <c r="AE109" s="182">
        <f t="shared" ref="AE109:AG109" si="175">P109-AE$107</f>
        <v>46894260.140671507</v>
      </c>
      <c r="AF109" s="182">
        <f t="shared" si="175"/>
        <v>3654486.2224469315</v>
      </c>
      <c r="AG109" s="195">
        <f t="shared" si="175"/>
        <v>338982.3562860004</v>
      </c>
      <c r="AI109" s="182">
        <f t="shared" ref="AI109:AI131" si="176">O109-AI$73</f>
        <v>1775726073.427943</v>
      </c>
      <c r="AJ109" s="182">
        <f t="shared" si="168"/>
        <v>47955033.621334486</v>
      </c>
      <c r="AK109" s="182">
        <f t="shared" si="169"/>
        <v>3952828.7638833956</v>
      </c>
      <c r="AL109" s="195">
        <f t="shared" si="170"/>
        <v>372131.52755671862</v>
      </c>
    </row>
    <row r="110" spans="4:38" x14ac:dyDescent="0.3">
      <c r="H110" s="169" t="s">
        <v>899</v>
      </c>
      <c r="I110" s="168" t="s">
        <v>834</v>
      </c>
      <c r="J110" s="101">
        <f>$C$75*J71</f>
        <v>77796174.442601413</v>
      </c>
      <c r="K110" s="101">
        <f t="shared" ref="K110:M110" si="177">$C$75*K71</f>
        <v>2573565.1241095038</v>
      </c>
      <c r="L110" s="101">
        <f t="shared" si="177"/>
        <v>278362.46749179077</v>
      </c>
      <c r="M110" s="101">
        <f t="shared" si="177"/>
        <v>45558.838379650988</v>
      </c>
      <c r="O110" s="182">
        <f t="shared" ref="O110:O111" si="178">E$77-J110</f>
        <v>1876915148.5885987</v>
      </c>
      <c r="P110" s="182">
        <f t="shared" si="172"/>
        <v>51778952.171570495</v>
      </c>
      <c r="Q110" s="182">
        <f t="shared" si="172"/>
        <v>4686156.6618202096</v>
      </c>
      <c r="R110" s="195">
        <f t="shared" si="172"/>
        <v>739262.84738034906</v>
      </c>
      <c r="T110" s="182">
        <f t="shared" ref="T110:T131" si="179">O110-T$107</f>
        <v>1876809370.0774031</v>
      </c>
      <c r="U110" s="182">
        <f t="shared" ref="U110:U131" si="180">P110-U$107</f>
        <v>51764015.77245637</v>
      </c>
      <c r="V110" s="182">
        <f t="shared" ref="V110:V131" si="181">Q110-V$107</f>
        <v>4673737.7981905909</v>
      </c>
      <c r="W110" s="195">
        <f t="shared" ref="W110:W131" si="182">R110-W$107</f>
        <v>726987.97012676217</v>
      </c>
      <c r="X110" s="212"/>
      <c r="Y110" s="182">
        <f t="shared" ref="Y110:Y131" si="183">O110-Y$107</f>
        <v>1876704200.2089982</v>
      </c>
      <c r="Z110" s="182">
        <f t="shared" ref="Z110:Z131" si="184">P110-Z$107</f>
        <v>51753302.423775367</v>
      </c>
      <c r="AA110" s="182">
        <f t="shared" ref="AA110:AA131" si="185">Q110-AA$107</f>
        <v>4665642.1521884408</v>
      </c>
      <c r="AB110" s="195">
        <f t="shared" ref="AB110:AB131" si="186">R110-AB$107</f>
        <v>719042.03940154717</v>
      </c>
      <c r="AC110" s="212"/>
      <c r="AD110" s="182">
        <f t="shared" ref="AD110:AD131" si="187">O110-AD$107</f>
        <v>1871009719.8967505</v>
      </c>
      <c r="AE110" s="182">
        <f t="shared" ref="AE110:AE131" si="188">P110-AE$107</f>
        <v>49974679.024321362</v>
      </c>
      <c r="AF110" s="182">
        <f t="shared" ref="AF110:AF131" si="189">Q110-AF$107</f>
        <v>3979521.4346205173</v>
      </c>
      <c r="AG110" s="195">
        <f t="shared" ref="AG110:AG131" si="190">R110-AG$107</f>
        <v>391628.91123738949</v>
      </c>
      <c r="AI110" s="182">
        <f t="shared" si="176"/>
        <v>1872998670.1729937</v>
      </c>
      <c r="AJ110" s="182">
        <f t="shared" si="168"/>
        <v>51035452.504984342</v>
      </c>
      <c r="AK110" s="182">
        <f t="shared" si="169"/>
        <v>4277863.9760569809</v>
      </c>
      <c r="AL110" s="195">
        <f t="shared" si="170"/>
        <v>424778.08250810771</v>
      </c>
    </row>
    <row r="111" spans="4:38" x14ac:dyDescent="0.3">
      <c r="H111" s="111"/>
      <c r="I111" s="8" t="s">
        <v>835</v>
      </c>
      <c r="J111" s="170">
        <f>$C$75*J72</f>
        <v>17481361.811366003</v>
      </c>
      <c r="K111" s="170">
        <f t="shared" ref="K111:M111" si="191">$C$75*K72</f>
        <v>565902.63705645106</v>
      </c>
      <c r="L111" s="170">
        <f t="shared" si="191"/>
        <v>59839.737272370949</v>
      </c>
      <c r="M111" s="170">
        <f t="shared" si="191"/>
        <v>9823.3768276900664</v>
      </c>
      <c r="N111" s="8"/>
      <c r="O111" s="194">
        <f t="shared" si="178"/>
        <v>1937229961.2198341</v>
      </c>
      <c r="P111" s="194">
        <f t="shared" si="172"/>
        <v>53786614.658623554</v>
      </c>
      <c r="Q111" s="194">
        <f t="shared" si="172"/>
        <v>4904679.3920396296</v>
      </c>
      <c r="R111" s="196">
        <f t="shared" si="172"/>
        <v>774998.30893230997</v>
      </c>
      <c r="S111" s="8"/>
      <c r="T111" s="194">
        <f t="shared" si="179"/>
        <v>1937124182.7086384</v>
      </c>
      <c r="U111" s="194">
        <f t="shared" si="180"/>
        <v>53771678.259509429</v>
      </c>
      <c r="V111" s="194">
        <f t="shared" si="181"/>
        <v>4892260.528410011</v>
      </c>
      <c r="W111" s="196">
        <f t="shared" si="182"/>
        <v>762723.43167872308</v>
      </c>
      <c r="X111" s="8"/>
      <c r="Y111" s="194">
        <f t="shared" si="183"/>
        <v>1937019012.8402336</v>
      </c>
      <c r="Z111" s="194">
        <f t="shared" si="184"/>
        <v>53760964.910828426</v>
      </c>
      <c r="AA111" s="194">
        <f t="shared" si="185"/>
        <v>4884164.8824078608</v>
      </c>
      <c r="AB111" s="196">
        <f t="shared" si="186"/>
        <v>754777.50095350808</v>
      </c>
      <c r="AC111" s="8"/>
      <c r="AD111" s="194">
        <f t="shared" si="187"/>
        <v>1931324532.5279858</v>
      </c>
      <c r="AE111" s="194">
        <f t="shared" si="188"/>
        <v>51982341.511374421</v>
      </c>
      <c r="AF111" s="194">
        <f t="shared" si="189"/>
        <v>4198044.1648399374</v>
      </c>
      <c r="AG111" s="196">
        <f t="shared" si="190"/>
        <v>427364.3727893504</v>
      </c>
      <c r="AI111" s="194">
        <f t="shared" si="176"/>
        <v>1933313482.804229</v>
      </c>
      <c r="AJ111" s="194">
        <f t="shared" si="168"/>
        <v>53043114.992037401</v>
      </c>
      <c r="AK111" s="194">
        <f t="shared" si="169"/>
        <v>4496386.7062764009</v>
      </c>
      <c r="AL111" s="196">
        <f t="shared" si="170"/>
        <v>460513.54406006861</v>
      </c>
    </row>
    <row r="112" spans="4:38" s="217" customFormat="1" x14ac:dyDescent="0.3">
      <c r="H112" s="237"/>
      <c r="I112" s="145" t="s">
        <v>983</v>
      </c>
      <c r="J112" s="101">
        <f>$C$79*J103</f>
        <v>3034088.4606398027</v>
      </c>
      <c r="K112" s="101">
        <f t="shared" ref="K112:M113" si="192">$C$79*K103</f>
        <v>94717.887633897495</v>
      </c>
      <c r="L112" s="101">
        <f t="shared" si="192"/>
        <v>9922.5493994335593</v>
      </c>
      <c r="M112" s="101">
        <f t="shared" si="192"/>
        <v>1601.5290955133273</v>
      </c>
      <c r="N112" s="207"/>
      <c r="O112" s="182">
        <f>E$81-J112</f>
        <v>16008709.248330152</v>
      </c>
      <c r="P112" s="195">
        <f t="shared" ref="P112" si="193">F$81-K112</f>
        <v>434784.33586061711</v>
      </c>
      <c r="Q112" s="183">
        <f t="shared" ref="Q112" si="194">G$81-L112</f>
        <v>38441.795958323957</v>
      </c>
      <c r="R112" s="184">
        <f t="shared" ref="R112" si="195">H$81-M112</f>
        <v>6044.203767160594</v>
      </c>
      <c r="S112" s="207"/>
      <c r="T112" s="182">
        <f t="shared" ref="T112" si="196">O112-T$107</f>
        <v>15902930.737134527</v>
      </c>
      <c r="U112" s="195">
        <f t="shared" ref="U112" si="197">P112-U$107</f>
        <v>419847.93674649211</v>
      </c>
      <c r="V112" s="183">
        <f t="shared" ref="V112" si="198">Q112-V$107</f>
        <v>26022.932328705207</v>
      </c>
      <c r="W112" s="184">
        <f t="shared" ref="W112" si="199">R112-W$107</f>
        <v>-6230.6734864262871</v>
      </c>
      <c r="X112" s="207"/>
      <c r="Y112" s="182">
        <f t="shared" ref="Y112" si="200">O112-Y$107</f>
        <v>15797760.868729526</v>
      </c>
      <c r="Z112" s="195">
        <f t="shared" ref="Z112" si="201">P112-Z$107</f>
        <v>409134.58806549211</v>
      </c>
      <c r="AA112" s="183">
        <f t="shared" ref="AA112" si="202">Q112-AA$107</f>
        <v>17927.286326555157</v>
      </c>
      <c r="AB112" s="184">
        <f t="shared" ref="AB112" si="203">R112-AB$107</f>
        <v>-14176.604211641308</v>
      </c>
      <c r="AC112" s="207"/>
      <c r="AD112" s="182">
        <f t="shared" ref="AD112" si="204">O112-AD$107</f>
        <v>10103280.556481931</v>
      </c>
      <c r="AE112" s="184">
        <f t="shared" ref="AE112" si="205">P112-AE$107</f>
        <v>-1369488.8113885173</v>
      </c>
      <c r="AF112" s="184">
        <f t="shared" ref="AF112" si="206">Q112-AF$107</f>
        <v>-668193.43124136841</v>
      </c>
      <c r="AG112" s="184">
        <f t="shared" ref="AG112" si="207">R112-AG$107</f>
        <v>-341589.73237579898</v>
      </c>
      <c r="AI112" s="182">
        <f t="shared" si="176"/>
        <v>12092230.832725026</v>
      </c>
      <c r="AJ112" s="184">
        <f t="shared" si="168"/>
        <v>-308715.33072553389</v>
      </c>
      <c r="AK112" s="184">
        <f t="shared" si="169"/>
        <v>-369850.88980490447</v>
      </c>
      <c r="AL112" s="184">
        <f t="shared" si="170"/>
        <v>-308440.56110508076</v>
      </c>
    </row>
    <row r="113" spans="8:38" ht="28.8" x14ac:dyDescent="0.3">
      <c r="H113" s="169" t="s">
        <v>895</v>
      </c>
      <c r="I113" s="168" t="s">
        <v>833</v>
      </c>
      <c r="J113" s="101">
        <f>$C$79*J104</f>
        <v>1705519.9689101062</v>
      </c>
      <c r="K113" s="101">
        <f t="shared" si="192"/>
        <v>55081.112203591692</v>
      </c>
      <c r="L113" s="101">
        <f t="shared" si="192"/>
        <v>5878.300195300093</v>
      </c>
      <c r="M113" s="101">
        <f t="shared" si="192"/>
        <v>956.7169418309918</v>
      </c>
      <c r="O113" s="182">
        <f>E$81-J113</f>
        <v>17337277.740059849</v>
      </c>
      <c r="P113" s="195">
        <f t="shared" ref="P113:R115" si="208">F$81-K113</f>
        <v>474421.11129092291</v>
      </c>
      <c r="Q113" s="183">
        <f t="shared" si="208"/>
        <v>42486.04516245742</v>
      </c>
      <c r="R113" s="184">
        <f t="shared" si="208"/>
        <v>6689.0159208429286</v>
      </c>
      <c r="T113" s="182">
        <f t="shared" si="179"/>
        <v>17231499.228864223</v>
      </c>
      <c r="U113" s="195">
        <f t="shared" si="180"/>
        <v>459484.71217679791</v>
      </c>
      <c r="V113" s="183">
        <f t="shared" si="181"/>
        <v>30067.181532838669</v>
      </c>
      <c r="W113" s="184">
        <f t="shared" si="182"/>
        <v>-5585.8613327439525</v>
      </c>
      <c r="X113" s="212"/>
      <c r="Y113" s="182">
        <f t="shared" si="183"/>
        <v>17126329.360459223</v>
      </c>
      <c r="Z113" s="195">
        <f t="shared" si="184"/>
        <v>448771.36349579791</v>
      </c>
      <c r="AA113" s="183">
        <f t="shared" si="185"/>
        <v>21971.535530688619</v>
      </c>
      <c r="AB113" s="184">
        <f t="shared" si="186"/>
        <v>-13531.792057958974</v>
      </c>
      <c r="AC113" s="212"/>
      <c r="AD113" s="182">
        <f t="shared" si="187"/>
        <v>11431849.048211629</v>
      </c>
      <c r="AE113" s="184">
        <f t="shared" si="188"/>
        <v>-1329852.0359582116</v>
      </c>
      <c r="AF113" s="184">
        <f t="shared" si="189"/>
        <v>-664149.182037235</v>
      </c>
      <c r="AG113" s="184">
        <f t="shared" si="190"/>
        <v>-340944.92022211663</v>
      </c>
      <c r="AI113" s="182">
        <f t="shared" si="176"/>
        <v>13420799.324454723</v>
      </c>
      <c r="AJ113" s="184">
        <f t="shared" si="168"/>
        <v>-269078.55529522809</v>
      </c>
      <c r="AK113" s="184">
        <f t="shared" si="169"/>
        <v>-365806.64060077094</v>
      </c>
      <c r="AL113" s="184">
        <f t="shared" si="170"/>
        <v>-307795.74895139842</v>
      </c>
    </row>
    <row r="114" spans="8:38" x14ac:dyDescent="0.3">
      <c r="H114" s="169"/>
      <c r="I114" s="168" t="s">
        <v>834</v>
      </c>
      <c r="J114" s="101">
        <f>$C$79*J105</f>
        <v>757890.33141982299</v>
      </c>
      <c r="K114" s="101">
        <f t="shared" ref="K114:M115" si="209">$C$79*K105</f>
        <v>25071.671439074787</v>
      </c>
      <c r="L114" s="101">
        <f t="shared" si="209"/>
        <v>2711.807158305026</v>
      </c>
      <c r="M114" s="101">
        <f t="shared" si="209"/>
        <v>443.83420349455997</v>
      </c>
      <c r="O114" s="182">
        <f t="shared" ref="O114:O115" si="210">E$81-J114</f>
        <v>18284907.377550133</v>
      </c>
      <c r="P114" s="195">
        <f t="shared" si="208"/>
        <v>504430.5520554398</v>
      </c>
      <c r="Q114" s="183">
        <f t="shared" si="208"/>
        <v>45652.538199452487</v>
      </c>
      <c r="R114" s="184">
        <f t="shared" si="208"/>
        <v>7201.8986591793609</v>
      </c>
      <c r="T114" s="182">
        <f t="shared" si="179"/>
        <v>18179128.866354506</v>
      </c>
      <c r="U114" s="195">
        <f t="shared" si="180"/>
        <v>489494.15294131479</v>
      </c>
      <c r="V114" s="183">
        <f t="shared" si="181"/>
        <v>33233.674569833733</v>
      </c>
      <c r="W114" s="184">
        <f t="shared" si="182"/>
        <v>-5072.9785944075202</v>
      </c>
      <c r="X114" s="212"/>
      <c r="Y114" s="182">
        <f t="shared" si="183"/>
        <v>18073958.997949507</v>
      </c>
      <c r="Z114" s="195">
        <f t="shared" si="184"/>
        <v>478780.80426031479</v>
      </c>
      <c r="AA114" s="183">
        <f t="shared" si="185"/>
        <v>25138.028567683687</v>
      </c>
      <c r="AB114" s="184">
        <f t="shared" si="186"/>
        <v>-13018.90931962254</v>
      </c>
      <c r="AC114" s="212"/>
      <c r="AD114" s="182">
        <f t="shared" si="187"/>
        <v>12379478.685701912</v>
      </c>
      <c r="AE114" s="184">
        <f t="shared" si="188"/>
        <v>-1299842.5951936948</v>
      </c>
      <c r="AF114" s="184">
        <f t="shared" si="189"/>
        <v>-660982.68900023995</v>
      </c>
      <c r="AG114" s="184">
        <f t="shared" si="190"/>
        <v>-340432.03748378024</v>
      </c>
      <c r="AI114" s="182">
        <f t="shared" si="176"/>
        <v>14368428.961945007</v>
      </c>
      <c r="AJ114" s="184">
        <f t="shared" si="168"/>
        <v>-239069.1145307112</v>
      </c>
      <c r="AK114" s="184">
        <f t="shared" si="169"/>
        <v>-362640.14756377588</v>
      </c>
      <c r="AL114" s="184">
        <f t="shared" si="170"/>
        <v>-307282.86621306202</v>
      </c>
    </row>
    <row r="115" spans="8:38" x14ac:dyDescent="0.3">
      <c r="H115" s="111"/>
      <c r="I115" s="8" t="s">
        <v>835</v>
      </c>
      <c r="J115" s="170">
        <f>$C$79*J106</f>
        <v>170303.42676632761</v>
      </c>
      <c r="K115" s="170">
        <f t="shared" si="209"/>
        <v>5513.0234902039465</v>
      </c>
      <c r="L115" s="170">
        <f t="shared" si="209"/>
        <v>582.95872050743787</v>
      </c>
      <c r="M115" s="170">
        <f t="shared" si="209"/>
        <v>95.699337055356636</v>
      </c>
      <c r="N115" s="8"/>
      <c r="O115" s="194">
        <f t="shared" si="210"/>
        <v>18872494.282203626</v>
      </c>
      <c r="P115" s="196">
        <f t="shared" si="208"/>
        <v>523989.20000431064</v>
      </c>
      <c r="Q115" s="193">
        <f t="shared" si="208"/>
        <v>47781.386637250078</v>
      </c>
      <c r="R115" s="197">
        <f t="shared" si="208"/>
        <v>7550.0335256185645</v>
      </c>
      <c r="S115" s="8"/>
      <c r="T115" s="194">
        <f t="shared" si="179"/>
        <v>18766715.771008</v>
      </c>
      <c r="U115" s="196">
        <f t="shared" si="180"/>
        <v>509052.80089018564</v>
      </c>
      <c r="V115" s="193">
        <f t="shared" si="181"/>
        <v>35362.523007631331</v>
      </c>
      <c r="W115" s="197">
        <f t="shared" si="182"/>
        <v>-4724.8437279683167</v>
      </c>
      <c r="X115" s="8"/>
      <c r="Y115" s="194">
        <f t="shared" si="183"/>
        <v>18661545.902603</v>
      </c>
      <c r="Z115" s="196">
        <f t="shared" si="184"/>
        <v>498339.45220918563</v>
      </c>
      <c r="AA115" s="193">
        <f t="shared" si="185"/>
        <v>27266.877005481278</v>
      </c>
      <c r="AB115" s="197">
        <f t="shared" si="186"/>
        <v>-12670.774453183338</v>
      </c>
      <c r="AC115" s="8"/>
      <c r="AD115" s="194">
        <f t="shared" si="187"/>
        <v>12967065.590355406</v>
      </c>
      <c r="AE115" s="197">
        <f t="shared" si="188"/>
        <v>-1280283.9472448239</v>
      </c>
      <c r="AF115" s="197">
        <f t="shared" si="189"/>
        <v>-658853.84056244232</v>
      </c>
      <c r="AG115" s="197">
        <f t="shared" si="190"/>
        <v>-340083.90261734102</v>
      </c>
      <c r="AI115" s="194">
        <f t="shared" si="176"/>
        <v>14956015.8665985</v>
      </c>
      <c r="AJ115" s="197">
        <f t="shared" si="168"/>
        <v>-219510.46658184036</v>
      </c>
      <c r="AK115" s="197">
        <f t="shared" si="169"/>
        <v>-360511.29912597832</v>
      </c>
      <c r="AL115" s="197">
        <f t="shared" si="170"/>
        <v>-306934.73134662281</v>
      </c>
    </row>
    <row r="116" spans="8:38" s="217" customFormat="1" x14ac:dyDescent="0.3">
      <c r="H116" s="237"/>
      <c r="I116" s="145" t="s">
        <v>983</v>
      </c>
      <c r="J116" s="101">
        <f>$C$83*J103</f>
        <v>735942.41762388148</v>
      </c>
      <c r="K116" s="101">
        <f t="shared" ref="K116:M117" si="211">$C$83*K103</f>
        <v>22974.581038688131</v>
      </c>
      <c r="L116" s="101">
        <f t="shared" si="211"/>
        <v>2406.7937005606136</v>
      </c>
      <c r="M116" s="101">
        <f t="shared" si="211"/>
        <v>388.46368843132751</v>
      </c>
      <c r="N116" s="207"/>
      <c r="O116" s="182">
        <f>E$85-J116</f>
        <v>3883040.438698845</v>
      </c>
      <c r="P116" s="195">
        <f t="shared" ref="P116" si="212">F$85-K116</f>
        <v>105460.41733100371</v>
      </c>
      <c r="Q116" s="183">
        <f t="shared" ref="Q116" si="213">G$85-L116</f>
        <v>9324.3650020036439</v>
      </c>
      <c r="R116" s="184">
        <f t="shared" ref="R116" si="214">H$85-M116</f>
        <v>1466.0699550195527</v>
      </c>
      <c r="S116" s="207"/>
      <c r="T116" s="182">
        <f t="shared" ref="T116" si="215">O116-T$107</f>
        <v>3777261.9275032198</v>
      </c>
      <c r="U116" s="195">
        <f t="shared" ref="U116" si="216">P116-U$107</f>
        <v>90524.018216878714</v>
      </c>
      <c r="V116" s="184">
        <f t="shared" ref="V116" si="217">Q116-V$107</f>
        <v>-3094.4986276151067</v>
      </c>
      <c r="W116" s="184">
        <f t="shared" ref="W116" si="218">R116-W$107</f>
        <v>-10808.807298567328</v>
      </c>
      <c r="X116" s="207"/>
      <c r="Y116" s="182">
        <f t="shared" ref="Y116" si="219">O116-Y$107</f>
        <v>3672092.05909822</v>
      </c>
      <c r="Z116" s="195">
        <f t="shared" ref="Z116" si="220">P116-Z$107</f>
        <v>79810.669535878711</v>
      </c>
      <c r="AA116" s="184">
        <f t="shared" ref="AA116" si="221">Q116-AA$107</f>
        <v>-11190.144629765156</v>
      </c>
      <c r="AB116" s="184">
        <f t="shared" ref="AB116" si="222">R116-AB$107</f>
        <v>-18754.738023782349</v>
      </c>
      <c r="AC116" s="207"/>
      <c r="AD116" s="184">
        <f t="shared" ref="AD116" si="223">O116-AD$107</f>
        <v>-2022388.2531493753</v>
      </c>
      <c r="AE116" s="184">
        <f t="shared" ref="AE116" si="224">P116-AE$107</f>
        <v>-1698812.7299181307</v>
      </c>
      <c r="AF116" s="184">
        <f t="shared" ref="AF116" si="225">Q116-AF$107</f>
        <v>-697310.86219768878</v>
      </c>
      <c r="AG116" s="184">
        <f t="shared" ref="AG116" si="226">R116-AG$107</f>
        <v>-346167.86618794</v>
      </c>
      <c r="AI116" s="195">
        <f t="shared" si="176"/>
        <v>-33437.976906280965</v>
      </c>
      <c r="AJ116" s="184">
        <f t="shared" si="168"/>
        <v>-638039.2492551473</v>
      </c>
      <c r="AK116" s="184">
        <f t="shared" si="169"/>
        <v>-398968.32076122472</v>
      </c>
      <c r="AL116" s="184">
        <f t="shared" si="170"/>
        <v>-313018.69491722179</v>
      </c>
    </row>
    <row r="117" spans="8:38" ht="28.8" x14ac:dyDescent="0.3">
      <c r="H117" s="169" t="s">
        <v>896</v>
      </c>
      <c r="I117" s="168" t="s">
        <v>833</v>
      </c>
      <c r="J117" s="101">
        <f>$C$83*J104</f>
        <v>413687.50631642173</v>
      </c>
      <c r="K117" s="101">
        <f t="shared" si="211"/>
        <v>13360.36421033537</v>
      </c>
      <c r="L117" s="101">
        <f t="shared" si="211"/>
        <v>1425.8287170492836</v>
      </c>
      <c r="M117" s="101">
        <f t="shared" si="211"/>
        <v>232.05934444124753</v>
      </c>
      <c r="O117" s="182">
        <f>E$85-J117</f>
        <v>4205295.3500063047</v>
      </c>
      <c r="P117" s="195">
        <f t="shared" ref="P117:R119" si="227">F$85-K117</f>
        <v>115074.63415935647</v>
      </c>
      <c r="Q117" s="183">
        <f t="shared" si="227"/>
        <v>10305.329985514973</v>
      </c>
      <c r="R117" s="184">
        <f t="shared" si="227"/>
        <v>1622.4742990096327</v>
      </c>
      <c r="T117" s="182">
        <f t="shared" si="179"/>
        <v>4099516.8388106795</v>
      </c>
      <c r="U117" s="195">
        <f t="shared" si="180"/>
        <v>100138.23504523147</v>
      </c>
      <c r="V117" s="184">
        <f t="shared" si="181"/>
        <v>-2113.533644103778</v>
      </c>
      <c r="W117" s="184">
        <f t="shared" si="182"/>
        <v>-10652.402954577248</v>
      </c>
      <c r="X117" s="212"/>
      <c r="Y117" s="182">
        <f t="shared" si="183"/>
        <v>3994346.9704056797</v>
      </c>
      <c r="Z117" s="195">
        <f t="shared" si="184"/>
        <v>89424.886364231468</v>
      </c>
      <c r="AA117" s="184">
        <f t="shared" si="185"/>
        <v>-10209.179646253828</v>
      </c>
      <c r="AB117" s="184">
        <f t="shared" si="186"/>
        <v>-18598.333679792271</v>
      </c>
      <c r="AC117" s="212"/>
      <c r="AD117" s="184">
        <f t="shared" si="187"/>
        <v>-1700133.3418419156</v>
      </c>
      <c r="AE117" s="184">
        <f t="shared" si="188"/>
        <v>-1689198.5130897779</v>
      </c>
      <c r="AF117" s="184">
        <f t="shared" si="189"/>
        <v>-696329.89721417741</v>
      </c>
      <c r="AG117" s="184">
        <f t="shared" si="190"/>
        <v>-346011.46184394992</v>
      </c>
      <c r="AI117" s="195">
        <f t="shared" si="176"/>
        <v>288816.93440117873</v>
      </c>
      <c r="AJ117" s="184">
        <f t="shared" si="168"/>
        <v>-628425.03242679453</v>
      </c>
      <c r="AK117" s="184">
        <f t="shared" si="169"/>
        <v>-397987.35577771341</v>
      </c>
      <c r="AL117" s="184">
        <f t="shared" si="170"/>
        <v>-312862.2905732317</v>
      </c>
    </row>
    <row r="118" spans="8:38" x14ac:dyDescent="0.3">
      <c r="H118" s="169"/>
      <c r="I118" s="168" t="s">
        <v>834</v>
      </c>
      <c r="J118" s="101">
        <f>$C$83*J105</f>
        <v>183832.36020786714</v>
      </c>
      <c r="K118" s="101">
        <f t="shared" ref="K118:M119" si="228">$C$83*K105</f>
        <v>6081.3343882707577</v>
      </c>
      <c r="L118" s="101">
        <f t="shared" si="228"/>
        <v>657.77051068310163</v>
      </c>
      <c r="M118" s="101">
        <f t="shared" si="228"/>
        <v>107.65553509111528</v>
      </c>
      <c r="O118" s="182">
        <f t="shared" ref="O118:O119" si="229">E$85-J118</f>
        <v>4435150.4961148594</v>
      </c>
      <c r="P118" s="195">
        <f t="shared" si="227"/>
        <v>122353.66398142109</v>
      </c>
      <c r="Q118" s="183">
        <f t="shared" si="227"/>
        <v>11073.388191881155</v>
      </c>
      <c r="R118" s="184">
        <f t="shared" si="227"/>
        <v>1746.8781083597648</v>
      </c>
      <c r="T118" s="182">
        <f t="shared" si="179"/>
        <v>4329371.9849192342</v>
      </c>
      <c r="U118" s="195">
        <f t="shared" si="180"/>
        <v>107417.26486729609</v>
      </c>
      <c r="V118" s="184">
        <f t="shared" si="181"/>
        <v>-1345.4754377375957</v>
      </c>
      <c r="W118" s="184">
        <f t="shared" si="182"/>
        <v>-10527.999145227117</v>
      </c>
      <c r="X118" s="212"/>
      <c r="Y118" s="182">
        <f t="shared" si="183"/>
        <v>4224202.1165142348</v>
      </c>
      <c r="Z118" s="195">
        <f t="shared" si="184"/>
        <v>96703.91618629609</v>
      </c>
      <c r="AA118" s="184">
        <f t="shared" si="185"/>
        <v>-9441.1214398876455</v>
      </c>
      <c r="AB118" s="184">
        <f t="shared" si="186"/>
        <v>-18473.929870442138</v>
      </c>
      <c r="AC118" s="212"/>
      <c r="AD118" s="184">
        <f t="shared" si="187"/>
        <v>-1470278.1957333609</v>
      </c>
      <c r="AE118" s="184">
        <f t="shared" si="188"/>
        <v>-1681919.4832677133</v>
      </c>
      <c r="AF118" s="184">
        <f t="shared" si="189"/>
        <v>-695561.83900781127</v>
      </c>
      <c r="AG118" s="184">
        <f t="shared" si="190"/>
        <v>-345887.05803459982</v>
      </c>
      <c r="AI118" s="195">
        <f t="shared" si="176"/>
        <v>518672.08050973341</v>
      </c>
      <c r="AJ118" s="184">
        <f t="shared" si="168"/>
        <v>-621146.00260472996</v>
      </c>
      <c r="AK118" s="184">
        <f t="shared" si="169"/>
        <v>-397219.29757134721</v>
      </c>
      <c r="AL118" s="184">
        <f t="shared" si="170"/>
        <v>-312737.8867638816</v>
      </c>
    </row>
    <row r="119" spans="8:38" x14ac:dyDescent="0.3">
      <c r="H119" s="111"/>
      <c r="I119" s="8" t="s">
        <v>835</v>
      </c>
      <c r="J119" s="170">
        <f>$C$83*J106</f>
        <v>41308.457960257867</v>
      </c>
      <c r="K119" s="170">
        <f t="shared" si="228"/>
        <v>1337.227931364394</v>
      </c>
      <c r="L119" s="170">
        <f t="shared" si="228"/>
        <v>141.40129917461255</v>
      </c>
      <c r="M119" s="170">
        <f t="shared" si="228"/>
        <v>23.212639443831627</v>
      </c>
      <c r="N119" s="8"/>
      <c r="O119" s="194">
        <f t="shared" si="229"/>
        <v>4577674.398362468</v>
      </c>
      <c r="P119" s="196">
        <f t="shared" si="227"/>
        <v>127097.77043832745</v>
      </c>
      <c r="Q119" s="193">
        <f t="shared" si="227"/>
        <v>11589.757403389644</v>
      </c>
      <c r="R119" s="197">
        <f t="shared" si="227"/>
        <v>1831.3210040070485</v>
      </c>
      <c r="S119" s="8"/>
      <c r="T119" s="194">
        <f t="shared" si="179"/>
        <v>4471895.8871668428</v>
      </c>
      <c r="U119" s="196">
        <f t="shared" si="180"/>
        <v>112161.37132420245</v>
      </c>
      <c r="V119" s="197">
        <f t="shared" si="181"/>
        <v>-829.10622622910705</v>
      </c>
      <c r="W119" s="197">
        <f t="shared" si="182"/>
        <v>-10443.556249579833</v>
      </c>
      <c r="X119" s="8"/>
      <c r="Y119" s="194">
        <f t="shared" si="183"/>
        <v>4366726.0187618434</v>
      </c>
      <c r="Z119" s="196">
        <f t="shared" si="184"/>
        <v>101448.02264320245</v>
      </c>
      <c r="AA119" s="197">
        <f t="shared" si="185"/>
        <v>-8924.7522283791568</v>
      </c>
      <c r="AB119" s="197">
        <f t="shared" si="186"/>
        <v>-18389.486974794854</v>
      </c>
      <c r="AC119" s="8"/>
      <c r="AD119" s="197">
        <f t="shared" si="187"/>
        <v>-1327754.2934857523</v>
      </c>
      <c r="AE119" s="197">
        <f t="shared" si="188"/>
        <v>-1677175.376810807</v>
      </c>
      <c r="AF119" s="197">
        <f t="shared" si="189"/>
        <v>-695045.46979630273</v>
      </c>
      <c r="AG119" s="197">
        <f t="shared" si="190"/>
        <v>-345802.6151389525</v>
      </c>
      <c r="AI119" s="196">
        <f t="shared" si="176"/>
        <v>661195.98275734205</v>
      </c>
      <c r="AJ119" s="197">
        <f t="shared" si="168"/>
        <v>-616401.89614782354</v>
      </c>
      <c r="AK119" s="197">
        <f t="shared" si="169"/>
        <v>-396702.92835983873</v>
      </c>
      <c r="AL119" s="197">
        <f t="shared" si="170"/>
        <v>-312653.44386823429</v>
      </c>
    </row>
    <row r="120" spans="8:38" s="217" customFormat="1" x14ac:dyDescent="0.3">
      <c r="H120" s="237"/>
      <c r="I120" s="145" t="s">
        <v>983</v>
      </c>
      <c r="J120" s="101">
        <f>$C$87*J103</f>
        <v>94056.119391625994</v>
      </c>
      <c r="K120" s="101">
        <f t="shared" ref="K120:M121" si="230">$C$87*K103</f>
        <v>2936.2350713854489</v>
      </c>
      <c r="L120" s="101">
        <f t="shared" si="230"/>
        <v>307.59699431625279</v>
      </c>
      <c r="M120" s="101">
        <f t="shared" si="230"/>
        <v>49.647073172349096</v>
      </c>
      <c r="N120" s="207"/>
      <c r="O120" s="195">
        <f>E$89-J120</f>
        <v>496266.70016379654</v>
      </c>
      <c r="P120" s="183">
        <f t="shared" ref="P120" si="231">F$89-K120</f>
        <v>13478.225151909914</v>
      </c>
      <c r="Q120" s="184">
        <f t="shared" ref="Q120" si="232">G$89-L120</f>
        <v>1191.6877827359713</v>
      </c>
      <c r="R120" s="184">
        <f t="shared" ref="R120" si="233">H$89-M120</f>
        <v>187.36907592717091</v>
      </c>
      <c r="S120" s="207"/>
      <c r="T120" s="195">
        <f t="shared" ref="T120" si="234">O120-T$107</f>
        <v>390488.18896817154</v>
      </c>
      <c r="U120" s="184">
        <f t="shared" ref="U120" si="235">P120-U$107</f>
        <v>-1458.1739622150872</v>
      </c>
      <c r="V120" s="184">
        <f t="shared" ref="V120" si="236">Q120-V$107</f>
        <v>-11227.175846882779</v>
      </c>
      <c r="W120" s="184">
        <f t="shared" ref="W120" si="237">R120-W$107</f>
        <v>-12087.508177659711</v>
      </c>
      <c r="X120" s="207"/>
      <c r="Y120" s="195">
        <f t="shared" ref="Y120" si="238">O120-Y$107</f>
        <v>285318.32056317152</v>
      </c>
      <c r="Z120" s="184">
        <f t="shared" ref="Z120" si="239">P120-Z$107</f>
        <v>-12171.522643215087</v>
      </c>
      <c r="AA120" s="184">
        <f t="shared" ref="AA120" si="240">Q120-AA$107</f>
        <v>-19322.821849032829</v>
      </c>
      <c r="AB120" s="184">
        <f t="shared" ref="AB120" si="241">R120-AB$107</f>
        <v>-20033.438902874732</v>
      </c>
      <c r="AC120" s="207"/>
      <c r="AD120" s="184">
        <f t="shared" ref="AD120" si="242">O120-AD$107</f>
        <v>-5409161.9916844238</v>
      </c>
      <c r="AE120" s="184">
        <f t="shared" ref="AE120" si="243">P120-AE$107</f>
        <v>-1790794.9220972245</v>
      </c>
      <c r="AF120" s="184">
        <f t="shared" ref="AF120" si="244">Q120-AF$107</f>
        <v>-705443.53941695648</v>
      </c>
      <c r="AG120" s="184">
        <f t="shared" ref="AG120" si="245">R120-AG$107</f>
        <v>-347446.56706703239</v>
      </c>
      <c r="AI120" s="184">
        <f t="shared" si="176"/>
        <v>-3420211.7154413294</v>
      </c>
      <c r="AJ120" s="184">
        <f t="shared" si="168"/>
        <v>-730021.44143424113</v>
      </c>
      <c r="AK120" s="184">
        <f t="shared" si="169"/>
        <v>-407100.99798049242</v>
      </c>
      <c r="AL120" s="184">
        <f t="shared" si="170"/>
        <v>-314297.39579631417</v>
      </c>
    </row>
    <row r="121" spans="8:38" ht="28.8" x14ac:dyDescent="0.3">
      <c r="H121" s="169" t="s">
        <v>897</v>
      </c>
      <c r="I121" s="168" t="s">
        <v>833</v>
      </c>
      <c r="J121" s="101">
        <f>$C$87*J104</f>
        <v>52870.768898670911</v>
      </c>
      <c r="K121" s="101">
        <f t="shared" si="230"/>
        <v>1707.5031703433269</v>
      </c>
      <c r="L121" s="101">
        <f t="shared" si="230"/>
        <v>182.22609925894355</v>
      </c>
      <c r="M121" s="101">
        <f t="shared" si="230"/>
        <v>29.658028785974082</v>
      </c>
      <c r="O121" s="195">
        <f>E$89-J121</f>
        <v>537452.05065675161</v>
      </c>
      <c r="P121" s="183">
        <f t="shared" ref="P121:R123" si="246">F$89-K121</f>
        <v>14706.957052952035</v>
      </c>
      <c r="Q121" s="184">
        <f t="shared" si="246"/>
        <v>1317.0586777932806</v>
      </c>
      <c r="R121" s="184">
        <f t="shared" si="246"/>
        <v>207.35812031354595</v>
      </c>
      <c r="T121" s="195">
        <f t="shared" si="179"/>
        <v>431673.53946112661</v>
      </c>
      <c r="U121" s="184">
        <f t="shared" si="180"/>
        <v>-229.44206117296562</v>
      </c>
      <c r="V121" s="184">
        <f t="shared" si="181"/>
        <v>-11101.80495182547</v>
      </c>
      <c r="W121" s="184">
        <f t="shared" si="182"/>
        <v>-12067.519133273336</v>
      </c>
      <c r="X121" s="212"/>
      <c r="Y121" s="195">
        <f t="shared" si="183"/>
        <v>326503.67105612659</v>
      </c>
      <c r="Z121" s="184">
        <f t="shared" si="184"/>
        <v>-10942.790742172965</v>
      </c>
      <c r="AA121" s="184">
        <f t="shared" si="185"/>
        <v>-19197.45095397552</v>
      </c>
      <c r="AB121" s="184">
        <f t="shared" si="186"/>
        <v>-20013.449858488355</v>
      </c>
      <c r="AC121" s="212"/>
      <c r="AD121" s="184">
        <f t="shared" si="187"/>
        <v>-5367976.6411914686</v>
      </c>
      <c r="AE121" s="184">
        <f t="shared" si="188"/>
        <v>-1789566.1901961823</v>
      </c>
      <c r="AF121" s="184">
        <f t="shared" si="189"/>
        <v>-705318.16852189915</v>
      </c>
      <c r="AG121" s="184">
        <f t="shared" si="190"/>
        <v>-347426.57802264602</v>
      </c>
      <c r="AI121" s="184">
        <f t="shared" si="176"/>
        <v>-3379026.3649483742</v>
      </c>
      <c r="AJ121" s="184">
        <f t="shared" si="168"/>
        <v>-728792.70953319897</v>
      </c>
      <c r="AK121" s="184">
        <f t="shared" si="169"/>
        <v>-406975.62708543509</v>
      </c>
      <c r="AL121" s="184">
        <f t="shared" si="170"/>
        <v>-314277.4067519278</v>
      </c>
    </row>
    <row r="122" spans="8:38" x14ac:dyDescent="0.3">
      <c r="H122" s="169"/>
      <c r="I122" s="168" t="s">
        <v>834</v>
      </c>
      <c r="J122" s="101">
        <f>$C$87*J105</f>
        <v>23494.444681665627</v>
      </c>
      <c r="K122" s="101">
        <f t="shared" ref="K122:M123" si="247">$C$87*K105</f>
        <v>777.2166674810702</v>
      </c>
      <c r="L122" s="101">
        <f t="shared" si="247"/>
        <v>84.065465182520825</v>
      </c>
      <c r="M122" s="101">
        <f t="shared" si="247"/>
        <v>13.758769190654599</v>
      </c>
      <c r="O122" s="195">
        <f t="shared" ref="O122:O123" si="248">E$89-J122</f>
        <v>566828.3748737569</v>
      </c>
      <c r="P122" s="183">
        <f t="shared" si="246"/>
        <v>15637.243555814292</v>
      </c>
      <c r="Q122" s="184">
        <f t="shared" si="246"/>
        <v>1415.2193118697032</v>
      </c>
      <c r="R122" s="184">
        <f t="shared" si="246"/>
        <v>223.25737990886543</v>
      </c>
      <c r="T122" s="195">
        <f t="shared" si="179"/>
        <v>461049.86367813189</v>
      </c>
      <c r="U122" s="184">
        <f t="shared" si="180"/>
        <v>700.84444168929076</v>
      </c>
      <c r="V122" s="184">
        <f t="shared" si="181"/>
        <v>-11003.644317749047</v>
      </c>
      <c r="W122" s="184">
        <f t="shared" si="182"/>
        <v>-12051.619873678015</v>
      </c>
      <c r="X122" s="212"/>
      <c r="Y122" s="195">
        <f t="shared" si="183"/>
        <v>355879.99527313188</v>
      </c>
      <c r="Z122" s="184">
        <f t="shared" si="184"/>
        <v>-10012.504239310709</v>
      </c>
      <c r="AA122" s="184">
        <f t="shared" si="185"/>
        <v>-19099.290319899097</v>
      </c>
      <c r="AB122" s="184">
        <f t="shared" si="186"/>
        <v>-19997.550598893038</v>
      </c>
      <c r="AC122" s="212"/>
      <c r="AD122" s="184">
        <f t="shared" si="187"/>
        <v>-5338600.3169744629</v>
      </c>
      <c r="AE122" s="184">
        <f t="shared" si="188"/>
        <v>-1788635.9036933202</v>
      </c>
      <c r="AF122" s="184">
        <f t="shared" si="189"/>
        <v>-705220.00788782269</v>
      </c>
      <c r="AG122" s="184">
        <f t="shared" si="190"/>
        <v>-347410.6787630507</v>
      </c>
      <c r="AI122" s="184">
        <f t="shared" si="176"/>
        <v>-3349650.0407313691</v>
      </c>
      <c r="AJ122" s="184">
        <f t="shared" si="168"/>
        <v>-727862.42303033674</v>
      </c>
      <c r="AK122" s="184">
        <f t="shared" si="169"/>
        <v>-406877.46645135869</v>
      </c>
      <c r="AL122" s="184">
        <f t="shared" si="170"/>
        <v>-314261.50749233249</v>
      </c>
    </row>
    <row r="123" spans="8:38" x14ac:dyDescent="0.3">
      <c r="H123" s="111"/>
      <c r="I123" s="8" t="s">
        <v>835</v>
      </c>
      <c r="J123" s="170">
        <f>$C$87*J106</f>
        <v>5279.3712670325331</v>
      </c>
      <c r="K123" s="170">
        <f t="shared" si="247"/>
        <v>170.90259639104823</v>
      </c>
      <c r="L123" s="170">
        <f t="shared" si="247"/>
        <v>18.071600656256027</v>
      </c>
      <c r="M123" s="170">
        <f t="shared" si="247"/>
        <v>2.9666598019624004</v>
      </c>
      <c r="N123" s="8"/>
      <c r="O123" s="196">
        <f t="shared" si="248"/>
        <v>585043.44828838995</v>
      </c>
      <c r="P123" s="193">
        <f t="shared" si="246"/>
        <v>16243.557626904314</v>
      </c>
      <c r="Q123" s="197">
        <f t="shared" si="246"/>
        <v>1481.213176395968</v>
      </c>
      <c r="R123" s="197">
        <f t="shared" si="246"/>
        <v>234.04948929755761</v>
      </c>
      <c r="S123" s="8"/>
      <c r="T123" s="196">
        <f t="shared" si="179"/>
        <v>479264.93709276494</v>
      </c>
      <c r="U123" s="197">
        <f t="shared" si="180"/>
        <v>1307.1585127793132</v>
      </c>
      <c r="V123" s="197">
        <f t="shared" si="181"/>
        <v>-10937.650453222783</v>
      </c>
      <c r="W123" s="197">
        <f t="shared" si="182"/>
        <v>-12040.827764289323</v>
      </c>
      <c r="X123" s="8"/>
      <c r="Y123" s="196">
        <f t="shared" si="183"/>
        <v>374095.06868776493</v>
      </c>
      <c r="Z123" s="197">
        <f t="shared" si="184"/>
        <v>-9406.1901682206862</v>
      </c>
      <c r="AA123" s="197">
        <f t="shared" si="185"/>
        <v>-19033.296455372831</v>
      </c>
      <c r="AB123" s="197">
        <f t="shared" si="186"/>
        <v>-19986.758489504344</v>
      </c>
      <c r="AC123" s="8"/>
      <c r="AD123" s="197">
        <f t="shared" si="187"/>
        <v>-5320385.2435598299</v>
      </c>
      <c r="AE123" s="197">
        <f t="shared" si="188"/>
        <v>-1788029.5896222303</v>
      </c>
      <c r="AF123" s="197">
        <f t="shared" si="189"/>
        <v>-705154.01402329642</v>
      </c>
      <c r="AG123" s="197">
        <f t="shared" si="190"/>
        <v>-347399.88665366202</v>
      </c>
      <c r="AI123" s="197">
        <f t="shared" si="176"/>
        <v>-3331434.967316736</v>
      </c>
      <c r="AJ123" s="197">
        <f t="shared" si="168"/>
        <v>-727256.10895924666</v>
      </c>
      <c r="AK123" s="197">
        <f t="shared" si="169"/>
        <v>-406811.47258683242</v>
      </c>
      <c r="AL123" s="197">
        <f t="shared" si="170"/>
        <v>-314250.7153829438</v>
      </c>
    </row>
    <row r="124" spans="8:38" s="217" customFormat="1" x14ac:dyDescent="0.3">
      <c r="H124" s="237"/>
      <c r="I124" s="145" t="s">
        <v>983</v>
      </c>
      <c r="J124" s="101">
        <f>$C$91*J103</f>
        <v>6851.770286807191</v>
      </c>
      <c r="K124" s="101">
        <f t="shared" ref="K124:M125" si="249">$C$91*K103</f>
        <v>213.89791910754923</v>
      </c>
      <c r="L124" s="101">
        <f t="shared" si="249"/>
        <v>22.40772806277338</v>
      </c>
      <c r="M124" s="101">
        <f t="shared" si="249"/>
        <v>3.6166742046082119</v>
      </c>
      <c r="N124" s="207"/>
      <c r="O124" s="183">
        <f>E$93-J124</f>
        <v>36151.87881987921</v>
      </c>
      <c r="P124" s="184">
        <f t="shared" ref="P124" si="250">F$93-K124</f>
        <v>981.8574613974107</v>
      </c>
      <c r="Q124" s="184">
        <f t="shared" ref="Q124" si="251">G$93-L124</f>
        <v>86.811692782090631</v>
      </c>
      <c r="R124" s="184">
        <f t="shared" ref="R124" si="252">H$93-M124</f>
        <v>13.649402882111787</v>
      </c>
      <c r="S124" s="207"/>
      <c r="T124" s="184">
        <f t="shared" ref="T124" si="253">O124-T$107</f>
        <v>-69626.632375745801</v>
      </c>
      <c r="U124" s="184">
        <f t="shared" ref="U124" si="254">P124-U$107</f>
        <v>-13954.54165272759</v>
      </c>
      <c r="V124" s="184">
        <f t="shared" ref="V124" si="255">Q124-V$107</f>
        <v>-12332.05193683666</v>
      </c>
      <c r="W124" s="184">
        <f t="shared" ref="W124" si="256">R124-W$107</f>
        <v>-12261.227850704769</v>
      </c>
      <c r="X124" s="207"/>
      <c r="Y124" s="184">
        <f t="shared" ref="Y124" si="257">O124-Y$107</f>
        <v>-174796.50078074579</v>
      </c>
      <c r="Z124" s="184">
        <f t="shared" ref="Z124" si="258">P124-Z$107</f>
        <v>-24667.890333727588</v>
      </c>
      <c r="AA124" s="184">
        <f t="shared" ref="AA124" si="259">Q124-AA$107</f>
        <v>-20427.697938986708</v>
      </c>
      <c r="AB124" s="184">
        <f t="shared" ref="AB124" si="260">R124-AB$107</f>
        <v>-20207.158575919791</v>
      </c>
      <c r="AC124" s="207"/>
      <c r="AD124" s="184">
        <f t="shared" ref="AD124" si="261">O124-AD$107</f>
        <v>-5869276.8130283412</v>
      </c>
      <c r="AE124" s="184">
        <f t="shared" ref="AE124" si="262">P124-AE$107</f>
        <v>-1803291.2897877372</v>
      </c>
      <c r="AF124" s="184">
        <f t="shared" ref="AF124" si="263">Q124-AF$107</f>
        <v>-706548.4155069103</v>
      </c>
      <c r="AG124" s="184">
        <f t="shared" ref="AG124" si="264">R124-AG$107</f>
        <v>-347620.28674007748</v>
      </c>
      <c r="AI124" s="184">
        <f t="shared" si="176"/>
        <v>-3880326.5367852468</v>
      </c>
      <c r="AJ124" s="184">
        <f t="shared" si="168"/>
        <v>-742517.80912475358</v>
      </c>
      <c r="AK124" s="184">
        <f t="shared" si="169"/>
        <v>-408205.8740704463</v>
      </c>
      <c r="AL124" s="184">
        <f t="shared" si="170"/>
        <v>-314471.11546935927</v>
      </c>
    </row>
    <row r="125" spans="8:38" ht="28.8" x14ac:dyDescent="0.3">
      <c r="H125" s="169" t="s">
        <v>898</v>
      </c>
      <c r="I125" s="168" t="s">
        <v>833</v>
      </c>
      <c r="J125" s="101">
        <f>$C$91*J104</f>
        <v>3851.5129661283445</v>
      </c>
      <c r="K125" s="101">
        <f t="shared" si="249"/>
        <v>124.38764817070593</v>
      </c>
      <c r="L125" s="101">
        <f t="shared" si="249"/>
        <v>13.274748952638271</v>
      </c>
      <c r="M125" s="101">
        <f t="shared" si="249"/>
        <v>2.16051865328288</v>
      </c>
      <c r="O125" s="183">
        <f>E$93-J125</f>
        <v>39152.136140558061</v>
      </c>
      <c r="P125" s="184">
        <f t="shared" ref="P125:R127" si="265">F$93-K125</f>
        <v>1071.367732334254</v>
      </c>
      <c r="Q125" s="184">
        <f t="shared" si="265"/>
        <v>95.944671892225728</v>
      </c>
      <c r="R125" s="184">
        <f t="shared" si="265"/>
        <v>15.105558433437119</v>
      </c>
      <c r="T125" s="184">
        <f t="shared" si="179"/>
        <v>-66626.37505506695</v>
      </c>
      <c r="U125" s="184">
        <f t="shared" si="180"/>
        <v>-13865.031381790746</v>
      </c>
      <c r="V125" s="184">
        <f t="shared" si="181"/>
        <v>-12322.918957726524</v>
      </c>
      <c r="W125" s="184">
        <f t="shared" si="182"/>
        <v>-12259.771695153444</v>
      </c>
      <c r="X125" s="212"/>
      <c r="Y125" s="184">
        <f t="shared" si="183"/>
        <v>-171796.24346006694</v>
      </c>
      <c r="Z125" s="184">
        <f t="shared" si="184"/>
        <v>-24578.380062790748</v>
      </c>
      <c r="AA125" s="184">
        <f t="shared" si="185"/>
        <v>-20418.564959876574</v>
      </c>
      <c r="AB125" s="184">
        <f t="shared" si="186"/>
        <v>-20205.702420368467</v>
      </c>
      <c r="AC125" s="212"/>
      <c r="AD125" s="184">
        <f t="shared" si="187"/>
        <v>-5866276.5557076624</v>
      </c>
      <c r="AE125" s="184">
        <f t="shared" si="188"/>
        <v>-1803201.7795168003</v>
      </c>
      <c r="AF125" s="184">
        <f t="shared" si="189"/>
        <v>-706539.28252780018</v>
      </c>
      <c r="AG125" s="184">
        <f t="shared" si="190"/>
        <v>-347618.83058452612</v>
      </c>
      <c r="AI125" s="184">
        <f t="shared" si="176"/>
        <v>-3877326.279464568</v>
      </c>
      <c r="AJ125" s="184">
        <f t="shared" si="168"/>
        <v>-742428.2988538167</v>
      </c>
      <c r="AK125" s="184">
        <f t="shared" si="169"/>
        <v>-408196.74109133618</v>
      </c>
      <c r="AL125" s="184">
        <f t="shared" si="170"/>
        <v>-314469.6593138079</v>
      </c>
    </row>
    <row r="126" spans="8:38" x14ac:dyDescent="0.3">
      <c r="H126" s="169"/>
      <c r="I126" s="168" t="s">
        <v>834</v>
      </c>
      <c r="J126" s="101">
        <f>$C$91*J105</f>
        <v>1711.5158377372311</v>
      </c>
      <c r="K126" s="101">
        <f t="shared" ref="K126:M127" si="266">$C$91*K105</f>
        <v>56.618432730409083</v>
      </c>
      <c r="L126" s="101">
        <f t="shared" si="266"/>
        <v>6.123974284819397</v>
      </c>
      <c r="M126" s="101">
        <f t="shared" si="266"/>
        <v>1.0022944443523216</v>
      </c>
      <c r="O126" s="183">
        <f t="shared" ref="O126:O127" si="267">E$93-J126</f>
        <v>41292.133268949176</v>
      </c>
      <c r="P126" s="184">
        <f t="shared" si="265"/>
        <v>1139.1369477745509</v>
      </c>
      <c r="Q126" s="184">
        <f t="shared" si="265"/>
        <v>103.09544656004461</v>
      </c>
      <c r="R126" s="184">
        <f t="shared" si="265"/>
        <v>16.263782642367676</v>
      </c>
      <c r="T126" s="184">
        <f t="shared" si="179"/>
        <v>-64486.377926675828</v>
      </c>
      <c r="U126" s="184">
        <f t="shared" si="180"/>
        <v>-13797.262166350451</v>
      </c>
      <c r="V126" s="184">
        <f t="shared" si="181"/>
        <v>-12315.768183058706</v>
      </c>
      <c r="W126" s="184">
        <f t="shared" si="182"/>
        <v>-12258.613470944514</v>
      </c>
      <c r="X126" s="212"/>
      <c r="Y126" s="184">
        <f t="shared" si="183"/>
        <v>-169656.24633167582</v>
      </c>
      <c r="Z126" s="184">
        <f t="shared" si="184"/>
        <v>-24510.61084735045</v>
      </c>
      <c r="AA126" s="184">
        <f t="shared" si="185"/>
        <v>-20411.414185208756</v>
      </c>
      <c r="AB126" s="184">
        <f t="shared" si="186"/>
        <v>-20204.544196159535</v>
      </c>
      <c r="AC126" s="212"/>
      <c r="AD126" s="184">
        <f t="shared" si="187"/>
        <v>-5864136.5585792707</v>
      </c>
      <c r="AE126" s="184">
        <f t="shared" si="188"/>
        <v>-1803134.0103013599</v>
      </c>
      <c r="AF126" s="184">
        <f t="shared" si="189"/>
        <v>-706532.13175313233</v>
      </c>
      <c r="AG126" s="184">
        <f t="shared" si="190"/>
        <v>-347617.6723603172</v>
      </c>
      <c r="AI126" s="184">
        <f t="shared" si="176"/>
        <v>-3875186.2823361768</v>
      </c>
      <c r="AJ126" s="184">
        <f t="shared" si="168"/>
        <v>-742360.52963837644</v>
      </c>
      <c r="AK126" s="184">
        <f t="shared" si="169"/>
        <v>-408189.59031666833</v>
      </c>
      <c r="AL126" s="184">
        <f t="shared" si="170"/>
        <v>-314468.50108959898</v>
      </c>
    </row>
    <row r="127" spans="8:38" x14ac:dyDescent="0.3">
      <c r="H127" s="111"/>
      <c r="I127" s="8" t="s">
        <v>835</v>
      </c>
      <c r="J127" s="170">
        <f>$C$91*J106</f>
        <v>384.58995985005208</v>
      </c>
      <c r="K127" s="170">
        <f t="shared" si="266"/>
        <v>12.449858015241922</v>
      </c>
      <c r="L127" s="170">
        <f t="shared" si="266"/>
        <v>1.3164742199921609</v>
      </c>
      <c r="M127" s="170">
        <f t="shared" si="266"/>
        <v>0.21611429020918146</v>
      </c>
      <c r="N127" s="8"/>
      <c r="O127" s="193">
        <f t="shared" si="267"/>
        <v>42619.059146836349</v>
      </c>
      <c r="P127" s="197">
        <f t="shared" si="265"/>
        <v>1183.305522489718</v>
      </c>
      <c r="Q127" s="197">
        <f t="shared" si="265"/>
        <v>107.90294662487184</v>
      </c>
      <c r="R127" s="197">
        <f t="shared" si="265"/>
        <v>17.049962796510819</v>
      </c>
      <c r="S127" s="8"/>
      <c r="T127" s="197">
        <f t="shared" si="179"/>
        <v>-63159.452048788655</v>
      </c>
      <c r="U127" s="197">
        <f t="shared" si="180"/>
        <v>-13753.093591635283</v>
      </c>
      <c r="V127" s="197">
        <f t="shared" si="181"/>
        <v>-12310.960682993878</v>
      </c>
      <c r="W127" s="197">
        <f t="shared" si="182"/>
        <v>-12257.82729079037</v>
      </c>
      <c r="X127" s="8"/>
      <c r="Y127" s="197">
        <f t="shared" si="183"/>
        <v>-168329.32045378865</v>
      </c>
      <c r="Z127" s="197">
        <f t="shared" si="184"/>
        <v>-24466.442272635282</v>
      </c>
      <c r="AA127" s="197">
        <f t="shared" si="185"/>
        <v>-20406.606685143928</v>
      </c>
      <c r="AB127" s="197">
        <f t="shared" si="186"/>
        <v>-20203.758016005391</v>
      </c>
      <c r="AC127" s="8"/>
      <c r="AD127" s="197">
        <f t="shared" si="187"/>
        <v>-5862809.6327013839</v>
      </c>
      <c r="AE127" s="197">
        <f t="shared" si="188"/>
        <v>-1803089.8417266447</v>
      </c>
      <c r="AF127" s="197">
        <f t="shared" si="189"/>
        <v>-706527.32425306749</v>
      </c>
      <c r="AG127" s="197">
        <f t="shared" si="190"/>
        <v>-347616.88618016307</v>
      </c>
      <c r="AI127" s="197">
        <f t="shared" si="176"/>
        <v>-3873859.3564582895</v>
      </c>
      <c r="AJ127" s="197">
        <f t="shared" si="168"/>
        <v>-742316.36106366129</v>
      </c>
      <c r="AK127" s="197">
        <f t="shared" si="169"/>
        <v>-408184.78281660355</v>
      </c>
      <c r="AL127" s="197">
        <f t="shared" si="170"/>
        <v>-314467.71490944485</v>
      </c>
    </row>
    <row r="128" spans="8:38" s="217" customFormat="1" x14ac:dyDescent="0.3">
      <c r="H128" s="237"/>
      <c r="I128" s="145" t="s">
        <v>983</v>
      </c>
      <c r="J128" s="101">
        <f>$C$95*J103</f>
        <v>934.33231183734426</v>
      </c>
      <c r="K128" s="101">
        <f t="shared" ref="K128:M129" si="268">$C$95*K103</f>
        <v>29.167898060120351</v>
      </c>
      <c r="L128" s="101">
        <f t="shared" si="268"/>
        <v>3.0555992812872792</v>
      </c>
      <c r="M128" s="101">
        <f t="shared" si="268"/>
        <v>0.493182846082938</v>
      </c>
      <c r="N128" s="207"/>
      <c r="O128" s="184">
        <f>E$97-J128</f>
        <v>4929.8016572562565</v>
      </c>
      <c r="P128" s="184">
        <f t="shared" ref="P128" si="269">F$97-K128</f>
        <v>133.88965382691964</v>
      </c>
      <c r="Q128" s="184">
        <f t="shared" ref="Q128" si="270">G$97-L128</f>
        <v>11.837958106648722</v>
      </c>
      <c r="R128" s="184">
        <f t="shared" ref="R128" si="271">H$97-M128</f>
        <v>1.8612822111970622</v>
      </c>
      <c r="S128" s="207"/>
      <c r="T128" s="184">
        <f t="shared" ref="T128" si="272">O128-T$107</f>
        <v>-100848.70953836874</v>
      </c>
      <c r="U128" s="184">
        <f t="shared" ref="U128" si="273">P128-U$107</f>
        <v>-14802.509460298081</v>
      </c>
      <c r="V128" s="184">
        <f t="shared" ref="V128" si="274">Q128-V$107</f>
        <v>-12407.025671512101</v>
      </c>
      <c r="W128" s="184">
        <f t="shared" ref="W128" si="275">R128-W$107</f>
        <v>-12273.015971375684</v>
      </c>
      <c r="X128" s="207"/>
      <c r="Y128" s="184">
        <f t="shared" ref="Y128" si="276">O128-Y$107</f>
        <v>-206018.57794336873</v>
      </c>
      <c r="Z128" s="184">
        <f t="shared" ref="Z128" si="277">P128-Z$107</f>
        <v>-25515.858141298082</v>
      </c>
      <c r="AA128" s="184">
        <f t="shared" ref="AA128" si="278">Q128-AA$107</f>
        <v>-20502.671673662153</v>
      </c>
      <c r="AB128" s="184">
        <f t="shared" ref="AB128" si="279">R128-AB$107</f>
        <v>-20218.946696590705</v>
      </c>
      <c r="AC128" s="207"/>
      <c r="AD128" s="184">
        <f t="shared" ref="AD128" si="280">O128-AD$107</f>
        <v>-5900498.8901909636</v>
      </c>
      <c r="AE128" s="184">
        <f t="shared" ref="AE128" si="281">P128-AE$107</f>
        <v>-1804139.2575953077</v>
      </c>
      <c r="AF128" s="184">
        <f t="shared" ref="AF128" si="282">Q128-AF$107</f>
        <v>-706623.38924158574</v>
      </c>
      <c r="AG128" s="184">
        <f t="shared" ref="AG128" si="283">R128-AG$107</f>
        <v>-347632.07486074837</v>
      </c>
      <c r="AI128" s="184">
        <f t="shared" si="176"/>
        <v>-3911548.6139478697</v>
      </c>
      <c r="AJ128" s="184">
        <f t="shared" si="168"/>
        <v>-743365.77693232405</v>
      </c>
      <c r="AK128" s="184">
        <f t="shared" si="169"/>
        <v>-408280.84780512174</v>
      </c>
      <c r="AL128" s="184">
        <f t="shared" si="170"/>
        <v>-314482.90359003015</v>
      </c>
    </row>
    <row r="129" spans="8:38" x14ac:dyDescent="0.3">
      <c r="H129" s="169" t="s">
        <v>825</v>
      </c>
      <c r="I129" s="168" t="s">
        <v>833</v>
      </c>
      <c r="J129" s="101">
        <f>$C$95*J104</f>
        <v>525.2063135629561</v>
      </c>
      <c r="K129" s="101">
        <f t="shared" si="268"/>
        <v>16.961952023278084</v>
      </c>
      <c r="L129" s="101">
        <f t="shared" si="268"/>
        <v>1.810193038996128</v>
      </c>
      <c r="M129" s="101">
        <f t="shared" si="268"/>
        <v>0.29461617999312001</v>
      </c>
      <c r="O129" s="184">
        <f>E$97-J129</f>
        <v>5338.9276555306451</v>
      </c>
      <c r="P129" s="184">
        <f t="shared" ref="P129:R131" si="284">F$97-K129</f>
        <v>146.09559986376192</v>
      </c>
      <c r="Q129" s="184">
        <f t="shared" si="284"/>
        <v>13.083364348939874</v>
      </c>
      <c r="R129" s="184">
        <f t="shared" si="284"/>
        <v>2.0598488772868802</v>
      </c>
      <c r="T129" s="184">
        <f t="shared" si="179"/>
        <v>-100439.58354009436</v>
      </c>
      <c r="U129" s="184">
        <f t="shared" si="180"/>
        <v>-14790.303514261239</v>
      </c>
      <c r="V129" s="184">
        <f t="shared" si="181"/>
        <v>-12405.78026526981</v>
      </c>
      <c r="W129" s="184">
        <f t="shared" si="182"/>
        <v>-12272.817404709594</v>
      </c>
      <c r="X129" s="212"/>
      <c r="Y129" s="184">
        <f t="shared" si="183"/>
        <v>-205609.45194509433</v>
      </c>
      <c r="Z129" s="184">
        <f t="shared" si="184"/>
        <v>-25503.652195261238</v>
      </c>
      <c r="AA129" s="184">
        <f t="shared" si="185"/>
        <v>-20501.426267419862</v>
      </c>
      <c r="AB129" s="184">
        <f t="shared" si="186"/>
        <v>-20218.748129924614</v>
      </c>
      <c r="AC129" s="212"/>
      <c r="AD129" s="184">
        <f t="shared" si="187"/>
        <v>-5900089.7641926892</v>
      </c>
      <c r="AE129" s="184">
        <f t="shared" si="188"/>
        <v>-1804127.0516492708</v>
      </c>
      <c r="AF129" s="184">
        <f t="shared" si="189"/>
        <v>-706622.14383534342</v>
      </c>
      <c r="AG129" s="184">
        <f t="shared" si="190"/>
        <v>-347631.87629408226</v>
      </c>
      <c r="AI129" s="184">
        <f t="shared" si="176"/>
        <v>-3911139.4879495953</v>
      </c>
      <c r="AJ129" s="184">
        <f t="shared" si="168"/>
        <v>-743353.5709862872</v>
      </c>
      <c r="AK129" s="184">
        <f t="shared" si="169"/>
        <v>-408279.60239887948</v>
      </c>
      <c r="AL129" s="184">
        <f t="shared" si="170"/>
        <v>-314482.70502336405</v>
      </c>
    </row>
    <row r="130" spans="8:38" x14ac:dyDescent="0.3">
      <c r="H130" t="s">
        <v>900</v>
      </c>
      <c r="I130" s="168" t="s">
        <v>834</v>
      </c>
      <c r="J130" s="101">
        <f>$C$95*J105</f>
        <v>233.38852332780425</v>
      </c>
      <c r="K130" s="101">
        <f t="shared" ref="K130:M131" si="285">$C$95*K105</f>
        <v>7.7206953723285112</v>
      </c>
      <c r="L130" s="101">
        <f t="shared" si="285"/>
        <v>0.83508740247537228</v>
      </c>
      <c r="M130" s="101">
        <f t="shared" si="285"/>
        <v>0.13667651513895296</v>
      </c>
      <c r="O130" s="184">
        <f t="shared" ref="O130:O131" si="286">E$97-J130</f>
        <v>5630.7454457657968</v>
      </c>
      <c r="P130" s="184">
        <f t="shared" si="284"/>
        <v>155.33685651471149</v>
      </c>
      <c r="Q130" s="184">
        <f t="shared" si="284"/>
        <v>14.058469985460629</v>
      </c>
      <c r="R130" s="184">
        <f t="shared" si="284"/>
        <v>2.2177885421410473</v>
      </c>
      <c r="T130" s="184">
        <f t="shared" si="179"/>
        <v>-100147.7657498592</v>
      </c>
      <c r="U130" s="184">
        <f t="shared" si="180"/>
        <v>-14781.062257610289</v>
      </c>
      <c r="V130" s="184">
        <f t="shared" si="181"/>
        <v>-12404.80515963329</v>
      </c>
      <c r="W130" s="184">
        <f t="shared" si="182"/>
        <v>-12272.659465044741</v>
      </c>
      <c r="X130" s="212"/>
      <c r="Y130" s="184">
        <f t="shared" si="183"/>
        <v>-205317.6341548592</v>
      </c>
      <c r="Z130" s="184">
        <f t="shared" si="184"/>
        <v>-25494.41093861029</v>
      </c>
      <c r="AA130" s="184">
        <f t="shared" si="185"/>
        <v>-20500.451161783341</v>
      </c>
      <c r="AB130" s="184">
        <f t="shared" si="186"/>
        <v>-20218.590190259762</v>
      </c>
      <c r="AC130" s="212"/>
      <c r="AD130" s="184">
        <f t="shared" si="187"/>
        <v>-5899797.9464024547</v>
      </c>
      <c r="AE130" s="184">
        <f t="shared" si="188"/>
        <v>-1804117.8103926198</v>
      </c>
      <c r="AF130" s="184">
        <f t="shared" si="189"/>
        <v>-706621.1687297069</v>
      </c>
      <c r="AG130" s="184">
        <f t="shared" si="190"/>
        <v>-347631.71835441742</v>
      </c>
      <c r="AI130" s="184">
        <f t="shared" si="176"/>
        <v>-3910847.6701593599</v>
      </c>
      <c r="AJ130" s="184">
        <f t="shared" si="168"/>
        <v>-743344.32972963632</v>
      </c>
      <c r="AK130" s="184">
        <f t="shared" si="169"/>
        <v>-408278.62729324296</v>
      </c>
      <c r="AL130" s="184">
        <f t="shared" si="170"/>
        <v>-314482.5470836992</v>
      </c>
    </row>
    <row r="131" spans="8:38" x14ac:dyDescent="0.3">
      <c r="H131" s="8"/>
      <c r="I131" s="8" t="s">
        <v>835</v>
      </c>
      <c r="J131" s="170">
        <f>$C$95*J106</f>
        <v>52.444085434098014</v>
      </c>
      <c r="K131" s="170">
        <f t="shared" si="285"/>
        <v>1.6977079111693532</v>
      </c>
      <c r="L131" s="170">
        <f t="shared" si="285"/>
        <v>0.17951921181711286</v>
      </c>
      <c r="M131" s="170">
        <f t="shared" si="285"/>
        <v>2.9470130483070199E-2</v>
      </c>
      <c r="N131" s="8"/>
      <c r="O131" s="197">
        <f t="shared" si="286"/>
        <v>5811.6898836595028</v>
      </c>
      <c r="P131" s="197">
        <f t="shared" si="284"/>
        <v>161.35984397587066</v>
      </c>
      <c r="Q131" s="197">
        <f t="shared" si="284"/>
        <v>14.714038176118889</v>
      </c>
      <c r="R131" s="197">
        <f t="shared" si="284"/>
        <v>2.3249949267969301</v>
      </c>
      <c r="S131" s="8"/>
      <c r="T131" s="197">
        <f t="shared" si="179"/>
        <v>-99966.821311965497</v>
      </c>
      <c r="U131" s="197">
        <f t="shared" si="180"/>
        <v>-14775.039270149131</v>
      </c>
      <c r="V131" s="197">
        <f t="shared" si="181"/>
        <v>-12404.149591442632</v>
      </c>
      <c r="W131" s="197">
        <f t="shared" si="182"/>
        <v>-12272.552258660084</v>
      </c>
      <c r="X131" s="8"/>
      <c r="Y131" s="197">
        <f t="shared" si="183"/>
        <v>-205136.68971696548</v>
      </c>
      <c r="Z131" s="197">
        <f t="shared" si="184"/>
        <v>-25488.387951149129</v>
      </c>
      <c r="AA131" s="197">
        <f t="shared" si="185"/>
        <v>-20499.79559359268</v>
      </c>
      <c r="AB131" s="197">
        <f t="shared" si="186"/>
        <v>-20218.482983875107</v>
      </c>
      <c r="AC131" s="8"/>
      <c r="AD131" s="197">
        <f t="shared" si="187"/>
        <v>-5899617.0019645607</v>
      </c>
      <c r="AE131" s="197">
        <f t="shared" si="188"/>
        <v>-1804111.7874051586</v>
      </c>
      <c r="AF131" s="197">
        <f t="shared" si="189"/>
        <v>-706620.51316151628</v>
      </c>
      <c r="AG131" s="197">
        <f t="shared" si="190"/>
        <v>-347631.61114803277</v>
      </c>
      <c r="AI131" s="197">
        <f t="shared" si="176"/>
        <v>-3910666.7257214664</v>
      </c>
      <c r="AJ131" s="197">
        <f t="shared" si="168"/>
        <v>-743338.30674217513</v>
      </c>
      <c r="AK131" s="197">
        <f t="shared" si="169"/>
        <v>-408277.97172505228</v>
      </c>
      <c r="AL131" s="197">
        <f t="shared" si="170"/>
        <v>-314482.43987731455</v>
      </c>
    </row>
    <row r="133" spans="8:38" x14ac:dyDescent="0.3">
      <c r="M133" s="1" t="s">
        <v>843</v>
      </c>
      <c r="N133" s="1" t="s">
        <v>986</v>
      </c>
      <c r="O133" s="1">
        <v>0.8077029254349628</v>
      </c>
      <c r="P133" s="1">
        <v>0.29043413648815686</v>
      </c>
      <c r="Q133" s="1">
        <v>0.18015084844644352</v>
      </c>
      <c r="R133" s="1">
        <v>7.0706670042621711E-2</v>
      </c>
    </row>
    <row r="134" spans="8:38" x14ac:dyDescent="0.3">
      <c r="N134" s="1" t="s">
        <v>806</v>
      </c>
      <c r="O134" s="1">
        <v>0.80988169538905008</v>
      </c>
      <c r="P134" s="1">
        <v>0.29580855272070011</v>
      </c>
      <c r="Q134" s="1">
        <v>0.18415517996447914</v>
      </c>
      <c r="R134" s="1">
        <v>7.2727534064634169E-2</v>
      </c>
    </row>
    <row r="135" spans="8:38" x14ac:dyDescent="0.3">
      <c r="N135" s="1" t="s">
        <v>807</v>
      </c>
      <c r="O135" s="1">
        <v>0.81098235313034006</v>
      </c>
      <c r="P135" s="1">
        <v>0.29883988337797163</v>
      </c>
      <c r="Q135" s="1">
        <v>0.1860879904380022</v>
      </c>
      <c r="R135" s="1">
        <v>7.3723380949184084E-2</v>
      </c>
    </row>
    <row r="136" spans="8:38" x14ac:dyDescent="0.3">
      <c r="N136" s="1" t="s">
        <v>808</v>
      </c>
      <c r="O136" s="1">
        <v>0.81181096755298554</v>
      </c>
      <c r="P136" s="1">
        <v>0.30111111344836111</v>
      </c>
      <c r="Q136" s="1">
        <v>0.18725024842595839</v>
      </c>
      <c r="R136" s="1">
        <v>7.4327840460512981E-2</v>
      </c>
    </row>
    <row r="137" spans="8:38" x14ac:dyDescent="0.3">
      <c r="M137" s="1" t="s">
        <v>987</v>
      </c>
      <c r="N137" s="1" t="s">
        <v>986</v>
      </c>
      <c r="O137" s="1">
        <v>2.0915107299395025E-2</v>
      </c>
      <c r="P137" s="1">
        <v>3.6448685118781105E-2</v>
      </c>
      <c r="Q137" s="1">
        <v>2.8828451181190418E-2</v>
      </c>
      <c r="R137" s="1">
        <v>1.7961691318292214E-2</v>
      </c>
    </row>
    <row r="138" spans="8:38" x14ac:dyDescent="0.3">
      <c r="N138" s="1" t="s">
        <v>806</v>
      </c>
      <c r="O138" s="1">
        <v>2.0766285191212333E-2</v>
      </c>
      <c r="P138" s="1">
        <v>3.641747947345058E-2</v>
      </c>
      <c r="Q138" s="1">
        <v>2.9417310598033306E-2</v>
      </c>
      <c r="R138" s="1">
        <v>1.8423504905847845E-2</v>
      </c>
    </row>
    <row r="139" spans="8:38" x14ac:dyDescent="0.3">
      <c r="N139" s="1" t="s">
        <v>807</v>
      </c>
      <c r="O139" s="1">
        <v>2.0564052666024426E-2</v>
      </c>
      <c r="P139" s="1">
        <v>3.6126361294191167E-2</v>
      </c>
      <c r="Q139" s="1">
        <v>2.9684644341445836E-2</v>
      </c>
      <c r="R139" s="1">
        <v>1.8641221498121401E-2</v>
      </c>
    </row>
    <row r="140" spans="8:38" x14ac:dyDescent="0.3">
      <c r="N140" s="1" t="s">
        <v>808</v>
      </c>
      <c r="O140" s="1">
        <v>2.0301069573724722E-2</v>
      </c>
      <c r="P140" s="1">
        <v>3.5727649672693665E-2</v>
      </c>
      <c r="Q140" s="1">
        <v>2.9832432132181248E-2</v>
      </c>
      <c r="R140" s="1">
        <v>1.8764546841317092E-2</v>
      </c>
    </row>
    <row r="141" spans="8:38" x14ac:dyDescent="0.3">
      <c r="M141" s="1" t="s">
        <v>845</v>
      </c>
      <c r="N141" s="1" t="s">
        <v>986</v>
      </c>
      <c r="O141" s="1">
        <v>0.17138196726564212</v>
      </c>
      <c r="P141" s="1">
        <v>0.67311717839306207</v>
      </c>
      <c r="Q141" s="1">
        <v>0.79102070037236605</v>
      </c>
      <c r="R141" s="1">
        <v>0.91133163863908606</v>
      </c>
    </row>
    <row r="142" spans="8:38" x14ac:dyDescent="0.3">
      <c r="N142" s="1" t="s">
        <v>806</v>
      </c>
      <c r="O142" s="1">
        <v>0.16935201941973763</v>
      </c>
      <c r="P142" s="1">
        <v>0.6677739678058493</v>
      </c>
      <c r="Q142" s="1">
        <v>0.78642750943748763</v>
      </c>
      <c r="R142" s="1">
        <v>0.90884896102951795</v>
      </c>
    </row>
    <row r="143" spans="8:38" x14ac:dyDescent="0.3">
      <c r="N143" s="1" t="s">
        <v>807</v>
      </c>
      <c r="O143" s="1">
        <v>0.16845359420363548</v>
      </c>
      <c r="P143" s="1">
        <v>0.66503375532783726</v>
      </c>
      <c r="Q143" s="1">
        <v>0.78422736522055192</v>
      </c>
      <c r="R143" s="1">
        <v>0.90763539755269462</v>
      </c>
    </row>
    <row r="144" spans="8:38" x14ac:dyDescent="0.3">
      <c r="N144" s="1" t="s">
        <v>808</v>
      </c>
      <c r="O144" s="1">
        <v>0.16788796287328972</v>
      </c>
      <c r="P144" s="1">
        <v>0.66316123687894524</v>
      </c>
      <c r="Q144" s="1">
        <v>0.78291731944186038</v>
      </c>
      <c r="R144" s="1">
        <v>0.90690761269817</v>
      </c>
    </row>
    <row r="146" spans="13:33" x14ac:dyDescent="0.3">
      <c r="N146" s="1" t="s">
        <v>855</v>
      </c>
      <c r="T146" t="s">
        <v>944</v>
      </c>
      <c r="Y146" t="s">
        <v>943</v>
      </c>
      <c r="AD146" s="213" t="s">
        <v>946</v>
      </c>
    </row>
    <row r="147" spans="13:33" x14ac:dyDescent="0.3">
      <c r="M147" s="176" t="s">
        <v>821</v>
      </c>
      <c r="O147" s="188" t="s">
        <v>826</v>
      </c>
      <c r="P147" s="188" t="s">
        <v>827</v>
      </c>
      <c r="Q147" s="188" t="s">
        <v>828</v>
      </c>
      <c r="R147" s="188" t="s">
        <v>829</v>
      </c>
      <c r="T147" s="170">
        <v>105778.511195625</v>
      </c>
      <c r="U147" s="170">
        <v>14936.399114125001</v>
      </c>
      <c r="V147" s="170">
        <v>12418.863629618751</v>
      </c>
      <c r="W147" s="170">
        <v>12274.877253586881</v>
      </c>
      <c r="X147" s="8"/>
      <c r="Y147" s="170">
        <v>210948.37960062499</v>
      </c>
      <c r="Z147" s="170">
        <v>25649.747795125</v>
      </c>
      <c r="AA147" s="170">
        <v>20514.5096317688</v>
      </c>
      <c r="AB147" s="170">
        <v>20220.807978801902</v>
      </c>
      <c r="AC147" s="8"/>
      <c r="AD147" s="170">
        <f>Y147*15</f>
        <v>3164225.6940093748</v>
      </c>
      <c r="AE147" s="170">
        <f>Z147*15</f>
        <v>384746.216926875</v>
      </c>
      <c r="AF147" s="170">
        <f>AA147*15</f>
        <v>307717.644476532</v>
      </c>
      <c r="AG147" s="170">
        <f>AB147*15</f>
        <v>303312.11968202854</v>
      </c>
    </row>
    <row r="148" spans="13:33" s="217" customFormat="1" x14ac:dyDescent="0.3">
      <c r="M148" s="225"/>
      <c r="O148" s="182">
        <f>O108*O133</f>
        <v>1327271740.1266687</v>
      </c>
      <c r="P148" s="182">
        <f t="shared" ref="P148:R148" si="287">P108*P133</f>
        <v>12962041.997973219</v>
      </c>
      <c r="Q148" s="195">
        <f t="shared" si="287"/>
        <v>710872.73226207378</v>
      </c>
      <c r="R148" s="183">
        <f t="shared" si="287"/>
        <v>43868.355721104002</v>
      </c>
      <c r="T148" s="182">
        <f>O148-T$147</f>
        <v>1327165961.615473</v>
      </c>
      <c r="U148" s="182">
        <f t="shared" ref="U148" si="288">P148-U$147</f>
        <v>12947105.598859094</v>
      </c>
      <c r="V148" s="195">
        <f t="shared" ref="V148" si="289">Q148-V$147</f>
        <v>698453.86863245501</v>
      </c>
      <c r="W148" s="183">
        <f t="shared" ref="W148" si="290">R148-W$147</f>
        <v>31593.478467517121</v>
      </c>
      <c r="Y148" s="182">
        <f>O148-Y$147</f>
        <v>1327060791.7470682</v>
      </c>
      <c r="Z148" s="182">
        <f t="shared" ref="Z148" si="291">P148-Z$147</f>
        <v>12936392.250178093</v>
      </c>
      <c r="AA148" s="195">
        <f t="shared" ref="AA148" si="292">Q148-AA$147</f>
        <v>690358.22263030498</v>
      </c>
      <c r="AB148" s="183">
        <f t="shared" ref="AB148" si="293">R148-AB$147</f>
        <v>23647.5477423021</v>
      </c>
      <c r="AC148" s="207"/>
      <c r="AD148" s="182">
        <f>O148-AD$147</f>
        <v>1324107514.4326594</v>
      </c>
      <c r="AE148" s="182">
        <f t="shared" ref="AE148" si="294">P148-AE$147</f>
        <v>12577295.781046344</v>
      </c>
      <c r="AF148" s="195">
        <f t="shared" ref="AF148" si="295">Q148-AF$147</f>
        <v>403155.08778554178</v>
      </c>
      <c r="AG148" s="184">
        <f t="shared" ref="AG148" si="296">R148-AG$147</f>
        <v>-259443.76396092452</v>
      </c>
    </row>
    <row r="149" spans="13:33" x14ac:dyDescent="0.3">
      <c r="M149" s="169" t="s">
        <v>824</v>
      </c>
      <c r="O149" s="182">
        <f t="shared" ref="O149:R151" si="297">O109*O134</f>
        <v>1441299927.0735481</v>
      </c>
      <c r="P149" s="182">
        <f t="shared" si="297"/>
        <v>14405442.651520642</v>
      </c>
      <c r="Q149" s="195">
        <f t="shared" si="297"/>
        <v>803123.10540662415</v>
      </c>
      <c r="R149" s="183">
        <f t="shared" si="297"/>
        <v>49935.909796960004</v>
      </c>
      <c r="T149" s="182">
        <f>O149-T$147</f>
        <v>1441194148.5623524</v>
      </c>
      <c r="U149" s="182">
        <f t="shared" ref="U149:W169" si="298">P149-U$147</f>
        <v>14390506.252406517</v>
      </c>
      <c r="V149" s="195">
        <f t="shared" si="298"/>
        <v>790704.24177700537</v>
      </c>
      <c r="W149" s="183">
        <f t="shared" si="298"/>
        <v>37661.03254337312</v>
      </c>
      <c r="Y149" s="182">
        <f>O149-Y$147</f>
        <v>1441088978.6939476</v>
      </c>
      <c r="Z149" s="182">
        <f t="shared" ref="Z149:AB149" si="299">P149-Z$147</f>
        <v>14379792.903725516</v>
      </c>
      <c r="AA149" s="195">
        <f t="shared" si="299"/>
        <v>782608.59577485535</v>
      </c>
      <c r="AB149" s="183">
        <f t="shared" si="299"/>
        <v>29715.101818158102</v>
      </c>
      <c r="AD149" s="182">
        <f>O149-AD$147</f>
        <v>1438135701.3795388</v>
      </c>
      <c r="AE149" s="182">
        <f t="shared" ref="AE149:AG149" si="300">P149-AE$147</f>
        <v>14020696.434593767</v>
      </c>
      <c r="AF149" s="195">
        <f t="shared" si="300"/>
        <v>495405.46093009214</v>
      </c>
      <c r="AG149" s="184">
        <f t="shared" si="300"/>
        <v>-253376.20988506853</v>
      </c>
    </row>
    <row r="150" spans="13:33" x14ac:dyDescent="0.3">
      <c r="M150" s="169" t="s">
        <v>899</v>
      </c>
      <c r="O150" s="182">
        <f t="shared" si="297"/>
        <v>1522145063.8283637</v>
      </c>
      <c r="P150" s="182">
        <f t="shared" si="297"/>
        <v>15473616.028385697</v>
      </c>
      <c r="Q150" s="195">
        <f t="shared" si="297"/>
        <v>872037.47607577941</v>
      </c>
      <c r="R150" s="183">
        <f t="shared" si="297"/>
        <v>54500.956519000007</v>
      </c>
      <c r="T150" s="182">
        <f t="shared" ref="T150:T171" si="301">O150-T$147</f>
        <v>1522039285.317168</v>
      </c>
      <c r="U150" s="182">
        <f t="shared" si="298"/>
        <v>15458679.629271572</v>
      </c>
      <c r="V150" s="195">
        <f t="shared" si="298"/>
        <v>859618.61244616064</v>
      </c>
      <c r="W150" s="183">
        <f t="shared" si="298"/>
        <v>42226.079265413122</v>
      </c>
      <c r="Y150" s="182">
        <f t="shared" ref="Y150:Y171" si="302">O150-Y$147</f>
        <v>1521934115.4487631</v>
      </c>
      <c r="Z150" s="182">
        <f t="shared" ref="Z150:Z171" si="303">P150-Z$147</f>
        <v>15447966.280590571</v>
      </c>
      <c r="AA150" s="195">
        <f t="shared" ref="AA150:AA171" si="304">Q150-AA$147</f>
        <v>851522.96644401061</v>
      </c>
      <c r="AB150" s="183">
        <f t="shared" ref="AB150:AB171" si="305">R150-AB$147</f>
        <v>34280.148540198104</v>
      </c>
      <c r="AD150" s="182">
        <f t="shared" ref="AD150:AD171" si="306">O150-AD$147</f>
        <v>1518980838.1343544</v>
      </c>
      <c r="AE150" s="182">
        <f t="shared" ref="AE150:AE171" si="307">P150-AE$147</f>
        <v>15088869.811458822</v>
      </c>
      <c r="AF150" s="195">
        <f t="shared" ref="AF150:AF171" si="308">Q150-AF$147</f>
        <v>564319.83159924741</v>
      </c>
      <c r="AG150" s="184">
        <f t="shared" ref="AG150:AG171" si="309">R150-AG$147</f>
        <v>-248811.16316302854</v>
      </c>
    </row>
    <row r="151" spans="13:33" x14ac:dyDescent="0.3">
      <c r="M151" s="111"/>
      <c r="N151" s="8"/>
      <c r="O151" s="194">
        <f t="shared" si="297"/>
        <v>1572664529.1905062</v>
      </c>
      <c r="P151" s="194">
        <f t="shared" si="297"/>
        <v>16195747.42847608</v>
      </c>
      <c r="Q151" s="196">
        <f t="shared" si="297"/>
        <v>918402.43460909917</v>
      </c>
      <c r="R151" s="193">
        <f t="shared" si="297"/>
        <v>57603.950663488089</v>
      </c>
      <c r="T151" s="194">
        <f t="shared" si="301"/>
        <v>1572558750.6793106</v>
      </c>
      <c r="U151" s="194">
        <f t="shared" si="298"/>
        <v>16180811.029361956</v>
      </c>
      <c r="V151" s="196">
        <f t="shared" si="298"/>
        <v>905983.5709794804</v>
      </c>
      <c r="W151" s="193">
        <f t="shared" si="298"/>
        <v>45329.073409901204</v>
      </c>
      <c r="Y151" s="194">
        <f t="shared" si="302"/>
        <v>1572453580.8109057</v>
      </c>
      <c r="Z151" s="194">
        <f t="shared" si="303"/>
        <v>16170097.680680955</v>
      </c>
      <c r="AA151" s="196">
        <f t="shared" si="304"/>
        <v>897887.92497733037</v>
      </c>
      <c r="AB151" s="193">
        <f t="shared" si="305"/>
        <v>37383.142684686187</v>
      </c>
      <c r="AC151" s="8"/>
      <c r="AD151" s="194">
        <f t="shared" si="306"/>
        <v>1569500303.4964969</v>
      </c>
      <c r="AE151" s="194">
        <f t="shared" si="307"/>
        <v>15811001.211549206</v>
      </c>
      <c r="AF151" s="196">
        <f t="shared" si="308"/>
        <v>610684.79013256717</v>
      </c>
      <c r="AG151" s="197">
        <f t="shared" si="309"/>
        <v>-245708.16901854044</v>
      </c>
    </row>
    <row r="152" spans="13:33" s="217" customFormat="1" x14ac:dyDescent="0.3">
      <c r="M152" s="237"/>
      <c r="N152" s="207"/>
      <c r="O152" s="182">
        <f>O112*O133</f>
        <v>12930281.292314008</v>
      </c>
      <c r="P152" s="195">
        <f t="shared" ref="P152:R152" si="310">P112*P133</f>
        <v>126276.2131442551</v>
      </c>
      <c r="Q152" s="184">
        <f t="shared" si="310"/>
        <v>6925.3221576971246</v>
      </c>
      <c r="R152" s="184">
        <f t="shared" si="310"/>
        <v>427.36552143499529</v>
      </c>
      <c r="T152" s="182">
        <f t="shared" ref="T152" si="311">O152-T$147</f>
        <v>12824502.781118384</v>
      </c>
      <c r="U152" s="195">
        <f t="shared" ref="U152" si="312">P152-U$147</f>
        <v>111339.8140301301</v>
      </c>
      <c r="V152" s="184">
        <f t="shared" ref="V152" si="313">Q152-V$147</f>
        <v>-5493.541471921626</v>
      </c>
      <c r="W152" s="184">
        <f t="shared" ref="W152" si="314">R152-W$147</f>
        <v>-11847.511732151886</v>
      </c>
      <c r="Y152" s="182">
        <f t="shared" ref="Y152" si="315">O152-Y$147</f>
        <v>12719332.912713382</v>
      </c>
      <c r="Z152" s="195">
        <f t="shared" ref="Z152" si="316">P152-Z$147</f>
        <v>100626.4653491301</v>
      </c>
      <c r="AA152" s="184">
        <f t="shared" ref="AA152" si="317">Q152-AA$147</f>
        <v>-13589.187474071676</v>
      </c>
      <c r="AB152" s="184">
        <f t="shared" ref="AB152" si="318">R152-AB$147</f>
        <v>-19793.442457366906</v>
      </c>
      <c r="AC152" s="207"/>
      <c r="AD152" s="182">
        <f t="shared" ref="AD152" si="319">O152-AD$147</f>
        <v>9766055.5983046331</v>
      </c>
      <c r="AE152" s="184">
        <f t="shared" ref="AE152" si="320">P152-AE$147</f>
        <v>-258470.0037826199</v>
      </c>
      <c r="AF152" s="184">
        <f t="shared" ref="AF152" si="321">Q152-AF$147</f>
        <v>-300792.32231883489</v>
      </c>
      <c r="AG152" s="184">
        <f t="shared" ref="AG152" si="322">R152-AG$147</f>
        <v>-302884.75416059355</v>
      </c>
    </row>
    <row r="153" spans="13:33" ht="28.8" x14ac:dyDescent="0.3">
      <c r="M153" s="169" t="s">
        <v>895</v>
      </c>
      <c r="O153" s="182">
        <f t="shared" ref="O153:R155" si="323">O113*O134</f>
        <v>14041143.889550509</v>
      </c>
      <c r="P153" s="195">
        <f t="shared" si="323"/>
        <v>140337.82231111411</v>
      </c>
      <c r="Q153" s="184">
        <f t="shared" si="323"/>
        <v>7824.0252928713344</v>
      </c>
      <c r="R153" s="184">
        <f t="shared" si="323"/>
        <v>486.47563324198438</v>
      </c>
      <c r="T153" s="182">
        <f t="shared" si="301"/>
        <v>13935365.378354885</v>
      </c>
      <c r="U153" s="195">
        <f t="shared" si="298"/>
        <v>125401.42319698911</v>
      </c>
      <c r="V153" s="184">
        <f t="shared" si="298"/>
        <v>-4594.8383367474162</v>
      </c>
      <c r="W153" s="184">
        <f t="shared" si="298"/>
        <v>-11788.401620344897</v>
      </c>
      <c r="Y153" s="182">
        <f t="shared" si="302"/>
        <v>13830195.509949883</v>
      </c>
      <c r="Z153" s="195">
        <f t="shared" si="303"/>
        <v>114688.07451598911</v>
      </c>
      <c r="AA153" s="184">
        <f t="shared" si="304"/>
        <v>-12690.484338897466</v>
      </c>
      <c r="AB153" s="184">
        <f t="shared" si="305"/>
        <v>-19734.332345559917</v>
      </c>
      <c r="AD153" s="182">
        <f t="shared" si="306"/>
        <v>10876918.195541134</v>
      </c>
      <c r="AE153" s="184">
        <f t="shared" si="307"/>
        <v>-244408.39461576089</v>
      </c>
      <c r="AF153" s="184">
        <f t="shared" si="308"/>
        <v>-299893.61918366066</v>
      </c>
      <c r="AG153" s="184">
        <f t="shared" si="309"/>
        <v>-302825.64404878655</v>
      </c>
    </row>
    <row r="154" spans="13:33" x14ac:dyDescent="0.3">
      <c r="M154" s="169"/>
      <c r="O154" s="182">
        <f t="shared" si="323"/>
        <v>14828737.211815922</v>
      </c>
      <c r="P154" s="195">
        <f t="shared" si="323"/>
        <v>150743.96734853348</v>
      </c>
      <c r="Q154" s="184">
        <f t="shared" si="323"/>
        <v>8495.3890919302448</v>
      </c>
      <c r="R154" s="184">
        <f t="shared" si="323"/>
        <v>530.94831840809809</v>
      </c>
      <c r="T154" s="182">
        <f t="shared" si="301"/>
        <v>14722958.700620297</v>
      </c>
      <c r="U154" s="195">
        <f t="shared" si="298"/>
        <v>135807.56823440848</v>
      </c>
      <c r="V154" s="184">
        <f t="shared" si="298"/>
        <v>-3923.4745376885057</v>
      </c>
      <c r="W154" s="184">
        <f t="shared" si="298"/>
        <v>-11743.928935178783</v>
      </c>
      <c r="Y154" s="182">
        <f t="shared" si="302"/>
        <v>14617788.832215296</v>
      </c>
      <c r="Z154" s="195">
        <f t="shared" si="303"/>
        <v>125094.21955340847</v>
      </c>
      <c r="AA154" s="184">
        <f t="shared" si="304"/>
        <v>-12019.120539838555</v>
      </c>
      <c r="AB154" s="184">
        <f t="shared" si="305"/>
        <v>-19689.859660393806</v>
      </c>
      <c r="AD154" s="182">
        <f t="shared" si="306"/>
        <v>11664511.517806547</v>
      </c>
      <c r="AE154" s="184">
        <f t="shared" si="307"/>
        <v>-234002.24957834152</v>
      </c>
      <c r="AF154" s="184">
        <f t="shared" si="308"/>
        <v>-299222.25538460177</v>
      </c>
      <c r="AG154" s="184">
        <f t="shared" si="309"/>
        <v>-302781.17136362044</v>
      </c>
    </row>
    <row r="155" spans="13:33" x14ac:dyDescent="0.3">
      <c r="M155" s="111"/>
      <c r="N155" s="8"/>
      <c r="O155" s="194">
        <f t="shared" si="323"/>
        <v>15320897.843373913</v>
      </c>
      <c r="P155" s="196">
        <f t="shared" si="323"/>
        <v>157778.97144821397</v>
      </c>
      <c r="Q155" s="197">
        <f t="shared" si="323"/>
        <v>8947.0765179618447</v>
      </c>
      <c r="R155" s="197">
        <f t="shared" si="323"/>
        <v>561.17768736370101</v>
      </c>
      <c r="T155" s="194">
        <f t="shared" si="301"/>
        <v>15215119.332178289</v>
      </c>
      <c r="U155" s="196">
        <f t="shared" si="298"/>
        <v>142842.57233408897</v>
      </c>
      <c r="V155" s="197">
        <f t="shared" si="298"/>
        <v>-3471.7871116569058</v>
      </c>
      <c r="W155" s="197">
        <f t="shared" si="298"/>
        <v>-11713.69956622318</v>
      </c>
      <c r="Y155" s="194">
        <f t="shared" si="302"/>
        <v>15109949.463773288</v>
      </c>
      <c r="Z155" s="196">
        <f t="shared" si="303"/>
        <v>132129.22365308896</v>
      </c>
      <c r="AA155" s="197">
        <f t="shared" si="304"/>
        <v>-11567.433113806956</v>
      </c>
      <c r="AB155" s="197">
        <f t="shared" si="305"/>
        <v>-19659.630291438199</v>
      </c>
      <c r="AC155" s="8"/>
      <c r="AD155" s="194">
        <f t="shared" si="306"/>
        <v>12156672.149364538</v>
      </c>
      <c r="AE155" s="197">
        <f t="shared" si="307"/>
        <v>-226967.24547866103</v>
      </c>
      <c r="AF155" s="197">
        <f t="shared" si="308"/>
        <v>-298770.56795857014</v>
      </c>
      <c r="AG155" s="197">
        <f t="shared" si="309"/>
        <v>-302750.94199466484</v>
      </c>
    </row>
    <row r="156" spans="13:33" s="217" customFormat="1" x14ac:dyDescent="0.3">
      <c r="M156" s="237"/>
      <c r="N156" s="207"/>
      <c r="O156" s="182">
        <f>O116*O133</f>
        <v>3136343.1219193186</v>
      </c>
      <c r="P156" s="183">
        <f t="shared" ref="P156:R156" si="324">P116*P133</f>
        <v>30629.305241210717</v>
      </c>
      <c r="Q156" s="184">
        <f t="shared" si="324"/>
        <v>1679.7922663352806</v>
      </c>
      <c r="R156" s="184">
        <f t="shared" si="324"/>
        <v>103.66092456896877</v>
      </c>
      <c r="T156" s="182">
        <f t="shared" ref="T156" si="325">O156-T$147</f>
        <v>3030564.6107236934</v>
      </c>
      <c r="U156" s="183">
        <f t="shared" ref="U156" si="326">P156-U$147</f>
        <v>15692.906127085716</v>
      </c>
      <c r="V156" s="184">
        <f t="shared" ref="V156" si="327">Q156-V$147</f>
        <v>-10739.07136328347</v>
      </c>
      <c r="W156" s="184">
        <f t="shared" ref="W156" si="328">R156-W$147</f>
        <v>-12171.216329017912</v>
      </c>
      <c r="Y156" s="182">
        <f t="shared" ref="Y156" si="329">O156-Y$147</f>
        <v>2925394.7423186935</v>
      </c>
      <c r="Z156" s="183">
        <f t="shared" ref="Z156" si="330">P156-Z$147</f>
        <v>4979.5574460857169</v>
      </c>
      <c r="AA156" s="184">
        <f t="shared" ref="AA156" si="331">Q156-AA$147</f>
        <v>-18834.71736543352</v>
      </c>
      <c r="AB156" s="184">
        <f t="shared" ref="AB156" si="332">R156-AB$147</f>
        <v>-20117.147054232933</v>
      </c>
      <c r="AC156" s="207"/>
      <c r="AD156" s="195">
        <f t="shared" ref="AD156" si="333">O156-AD$147</f>
        <v>-27882.572090056259</v>
      </c>
      <c r="AE156" s="184">
        <f t="shared" ref="AE156" si="334">P156-AE$147</f>
        <v>-354116.91168566426</v>
      </c>
      <c r="AF156" s="184">
        <f t="shared" ref="AF156" si="335">Q156-AF$147</f>
        <v>-306037.85221019672</v>
      </c>
      <c r="AG156" s="184">
        <f t="shared" ref="AG156" si="336">R156-AG$147</f>
        <v>-303208.45875745959</v>
      </c>
    </row>
    <row r="157" spans="13:33" ht="28.8" x14ac:dyDescent="0.3">
      <c r="M157" s="169" t="s">
        <v>896</v>
      </c>
      <c r="O157" s="182">
        <f t="shared" ref="O157:R159" si="337">O117*O134</f>
        <v>3405791.7276747948</v>
      </c>
      <c r="P157" s="183">
        <f t="shared" si="337"/>
        <v>34040.060985543278</v>
      </c>
      <c r="Q157" s="184">
        <f t="shared" si="337"/>
        <v>1897.779898075853</v>
      </c>
      <c r="R157" s="184">
        <f t="shared" si="337"/>
        <v>117.99855485021651</v>
      </c>
      <c r="T157" s="182">
        <f t="shared" si="301"/>
        <v>3300013.2164791697</v>
      </c>
      <c r="U157" s="183">
        <f t="shared" si="298"/>
        <v>19103.661871418277</v>
      </c>
      <c r="V157" s="184">
        <f t="shared" si="298"/>
        <v>-10521.083731542898</v>
      </c>
      <c r="W157" s="184">
        <f t="shared" si="298"/>
        <v>-12156.878698736664</v>
      </c>
      <c r="Y157" s="182">
        <f t="shared" si="302"/>
        <v>3194843.3480741698</v>
      </c>
      <c r="Z157" s="183">
        <f t="shared" si="303"/>
        <v>8390.3131904182774</v>
      </c>
      <c r="AA157" s="184">
        <f t="shared" si="304"/>
        <v>-18616.729733692948</v>
      </c>
      <c r="AB157" s="184">
        <f t="shared" si="305"/>
        <v>-20102.809423951687</v>
      </c>
      <c r="AD157" s="195">
        <f t="shared" si="306"/>
        <v>241566.03366542002</v>
      </c>
      <c r="AE157" s="184">
        <f t="shared" si="307"/>
        <v>-350706.1559413317</v>
      </c>
      <c r="AF157" s="184">
        <f t="shared" si="308"/>
        <v>-305819.86457845615</v>
      </c>
      <c r="AG157" s="184">
        <f t="shared" si="309"/>
        <v>-303194.12112717831</v>
      </c>
    </row>
    <row r="158" spans="13:33" x14ac:dyDescent="0.3">
      <c r="M158" s="169"/>
      <c r="O158" s="182">
        <f t="shared" si="337"/>
        <v>3596828.7858264237</v>
      </c>
      <c r="P158" s="183">
        <f t="shared" si="337"/>
        <v>36564.154675075406</v>
      </c>
      <c r="Q158" s="184">
        <f t="shared" si="337"/>
        <v>2060.624555967067</v>
      </c>
      <c r="R158" s="184">
        <f t="shared" si="337"/>
        <v>128.78576025439702</v>
      </c>
      <c r="T158" s="182">
        <f t="shared" si="301"/>
        <v>3491050.2746307985</v>
      </c>
      <c r="U158" s="183">
        <f t="shared" si="298"/>
        <v>21627.755560950405</v>
      </c>
      <c r="V158" s="184">
        <f t="shared" si="298"/>
        <v>-10358.239073651683</v>
      </c>
      <c r="W158" s="184">
        <f t="shared" si="298"/>
        <v>-12146.091493332484</v>
      </c>
      <c r="Y158" s="182">
        <f t="shared" si="302"/>
        <v>3385880.4062257987</v>
      </c>
      <c r="Z158" s="183">
        <f t="shared" si="303"/>
        <v>10914.406879950406</v>
      </c>
      <c r="AA158" s="184">
        <f t="shared" si="304"/>
        <v>-18453.885075801732</v>
      </c>
      <c r="AB158" s="184">
        <f t="shared" si="305"/>
        <v>-20092.022218547507</v>
      </c>
      <c r="AD158" s="195">
        <f t="shared" si="306"/>
        <v>432603.09181704884</v>
      </c>
      <c r="AE158" s="184">
        <f t="shared" si="307"/>
        <v>-348182.06225179962</v>
      </c>
      <c r="AF158" s="184">
        <f t="shared" si="308"/>
        <v>-305657.01992056496</v>
      </c>
      <c r="AG158" s="184">
        <f t="shared" si="309"/>
        <v>-303183.33392177412</v>
      </c>
    </row>
    <row r="159" spans="13:33" x14ac:dyDescent="0.3">
      <c r="M159" s="111"/>
      <c r="N159" s="8"/>
      <c r="O159" s="194">
        <f t="shared" si="337"/>
        <v>3716206.282477166</v>
      </c>
      <c r="P159" s="193">
        <f t="shared" si="337"/>
        <v>38270.551173488973</v>
      </c>
      <c r="Q159" s="197">
        <f t="shared" si="337"/>
        <v>2170.1849529813012</v>
      </c>
      <c r="R159" s="197">
        <f t="shared" si="337"/>
        <v>136.11813541782234</v>
      </c>
      <c r="T159" s="194">
        <f t="shared" si="301"/>
        <v>3610427.7712815409</v>
      </c>
      <c r="U159" s="193">
        <f t="shared" si="298"/>
        <v>23334.152059363973</v>
      </c>
      <c r="V159" s="197">
        <f t="shared" si="298"/>
        <v>-10248.67867663745</v>
      </c>
      <c r="W159" s="197">
        <f t="shared" si="298"/>
        <v>-12138.759118169059</v>
      </c>
      <c r="Y159" s="194">
        <f t="shared" si="302"/>
        <v>3505257.902876541</v>
      </c>
      <c r="Z159" s="193">
        <f t="shared" si="303"/>
        <v>12620.803378363973</v>
      </c>
      <c r="AA159" s="197">
        <f t="shared" si="304"/>
        <v>-18344.3246787875</v>
      </c>
      <c r="AB159" s="197">
        <f t="shared" si="305"/>
        <v>-20084.68984338408</v>
      </c>
      <c r="AC159" s="8"/>
      <c r="AD159" s="196">
        <f t="shared" si="306"/>
        <v>551980.58846779121</v>
      </c>
      <c r="AE159" s="197">
        <f t="shared" si="307"/>
        <v>-346475.66575338604</v>
      </c>
      <c r="AF159" s="197">
        <f t="shared" si="308"/>
        <v>-305547.4595235507</v>
      </c>
      <c r="AG159" s="197">
        <f t="shared" si="309"/>
        <v>-303176.00154661073</v>
      </c>
    </row>
    <row r="160" spans="13:33" s="217" customFormat="1" x14ac:dyDescent="0.3">
      <c r="M160" s="237"/>
      <c r="N160" s="207"/>
      <c r="O160" s="195">
        <f>O120*O133</f>
        <v>400836.06551825401</v>
      </c>
      <c r="P160" s="184">
        <f t="shared" ref="P160:R160" si="338">P120*P133</f>
        <v>3914.5366833879125</v>
      </c>
      <c r="Q160" s="184">
        <f t="shared" si="338"/>
        <v>214.68356514314627</v>
      </c>
      <c r="R160" s="184">
        <f t="shared" si="338"/>
        <v>13.248243427773408</v>
      </c>
      <c r="T160" s="195">
        <f t="shared" ref="T160" si="339">O160-T$147</f>
        <v>295057.554322629</v>
      </c>
      <c r="U160" s="184">
        <f t="shared" ref="U160" si="340">P160-U$147</f>
        <v>-11021.862430737088</v>
      </c>
      <c r="V160" s="184">
        <f t="shared" ref="V160" si="341">Q160-V$147</f>
        <v>-12204.180064475604</v>
      </c>
      <c r="W160" s="184">
        <f t="shared" ref="W160" si="342">R160-W$147</f>
        <v>-12261.629010159108</v>
      </c>
      <c r="Y160" s="195">
        <f t="shared" ref="Y160" si="343">O160-Y$147</f>
        <v>189887.68591762902</v>
      </c>
      <c r="Z160" s="184">
        <f t="shared" ref="Z160" si="344">P160-Z$147</f>
        <v>-21735.211111737088</v>
      </c>
      <c r="AA160" s="184">
        <f t="shared" ref="AA160" si="345">Q160-AA$147</f>
        <v>-20299.826066625654</v>
      </c>
      <c r="AB160" s="184">
        <f t="shared" ref="AB160" si="346">R160-AB$147</f>
        <v>-20207.559735374129</v>
      </c>
      <c r="AC160" s="207"/>
      <c r="AD160" s="184">
        <f t="shared" ref="AD160" si="347">O160-AD$147</f>
        <v>-2763389.6284911209</v>
      </c>
      <c r="AE160" s="184">
        <f t="shared" ref="AE160" si="348">P160-AE$147</f>
        <v>-380831.68024348706</v>
      </c>
      <c r="AF160" s="184">
        <f t="shared" ref="AF160" si="349">Q160-AF$147</f>
        <v>-307502.96091138886</v>
      </c>
      <c r="AG160" s="184">
        <f t="shared" ref="AG160" si="350">R160-AG$147</f>
        <v>-303298.87143860076</v>
      </c>
    </row>
    <row r="161" spans="13:33" ht="28.8" x14ac:dyDescent="0.3">
      <c r="M161" s="169" t="s">
        <v>897</v>
      </c>
      <c r="O161" s="195">
        <f>O121*O134</f>
        <v>435272.57797621161</v>
      </c>
      <c r="P161" s="184">
        <f t="shared" ref="P161:R161" si="351">P121*P134</f>
        <v>4350.4436807592347</v>
      </c>
      <c r="Q161" s="184">
        <f t="shared" si="351"/>
        <v>242.54317783280052</v>
      </c>
      <c r="R161" s="184">
        <f t="shared" si="351"/>
        <v>15.080644758681924</v>
      </c>
      <c r="T161" s="195">
        <f t="shared" si="301"/>
        <v>329494.06678058661</v>
      </c>
      <c r="U161" s="184">
        <f t="shared" si="298"/>
        <v>-10585.955433365765</v>
      </c>
      <c r="V161" s="184">
        <f t="shared" si="298"/>
        <v>-12176.32045178595</v>
      </c>
      <c r="W161" s="184">
        <f t="shared" si="298"/>
        <v>-12259.796608828199</v>
      </c>
      <c r="Y161" s="195">
        <f t="shared" si="302"/>
        <v>224324.19837558662</v>
      </c>
      <c r="Z161" s="184">
        <f t="shared" si="303"/>
        <v>-21299.304114365765</v>
      </c>
      <c r="AA161" s="184">
        <f t="shared" si="304"/>
        <v>-20271.966453935998</v>
      </c>
      <c r="AB161" s="184">
        <f t="shared" si="305"/>
        <v>-20205.727334043222</v>
      </c>
      <c r="AD161" s="184">
        <f t="shared" si="306"/>
        <v>-2728953.1160331634</v>
      </c>
      <c r="AE161" s="184">
        <f t="shared" si="307"/>
        <v>-380395.77324611577</v>
      </c>
      <c r="AF161" s="184">
        <f t="shared" si="308"/>
        <v>-307475.10129869921</v>
      </c>
      <c r="AG161" s="184">
        <f t="shared" si="309"/>
        <v>-303297.03903726983</v>
      </c>
    </row>
    <row r="162" spans="13:33" x14ac:dyDescent="0.3">
      <c r="M162" s="169"/>
      <c r="O162" s="195">
        <f t="shared" ref="O162:R163" si="352">O122*O135</f>
        <v>459687.80927616591</v>
      </c>
      <c r="P162" s="184">
        <f t="shared" si="352"/>
        <v>4673.0320405724815</v>
      </c>
      <c r="Q162" s="184">
        <f t="shared" si="352"/>
        <v>263.35531777488541</v>
      </c>
      <c r="R162" s="184">
        <f t="shared" si="352"/>
        <v>16.459288868738003</v>
      </c>
      <c r="T162" s="195">
        <f t="shared" si="301"/>
        <v>353909.2980805409</v>
      </c>
      <c r="U162" s="184">
        <f t="shared" si="298"/>
        <v>-10263.367073552519</v>
      </c>
      <c r="V162" s="184">
        <f t="shared" si="298"/>
        <v>-12155.508311843865</v>
      </c>
      <c r="W162" s="184">
        <f t="shared" si="298"/>
        <v>-12258.417964718143</v>
      </c>
      <c r="Y162" s="195">
        <f t="shared" si="302"/>
        <v>248739.42967554092</v>
      </c>
      <c r="Z162" s="184">
        <f t="shared" si="303"/>
        <v>-20976.715754552519</v>
      </c>
      <c r="AA162" s="184">
        <f t="shared" si="304"/>
        <v>-20251.154313993917</v>
      </c>
      <c r="AB162" s="184">
        <f t="shared" si="305"/>
        <v>-20204.348689933166</v>
      </c>
      <c r="AD162" s="184">
        <f t="shared" si="306"/>
        <v>-2704537.8847332089</v>
      </c>
      <c r="AE162" s="184">
        <f t="shared" si="307"/>
        <v>-380073.18488630251</v>
      </c>
      <c r="AF162" s="184">
        <f t="shared" si="308"/>
        <v>-307454.28915875714</v>
      </c>
      <c r="AG162" s="184">
        <f t="shared" si="309"/>
        <v>-303295.66039315978</v>
      </c>
    </row>
    <row r="163" spans="13:33" x14ac:dyDescent="0.3">
      <c r="M163" s="111"/>
      <c r="N163" s="8"/>
      <c r="O163" s="196">
        <f t="shared" si="352"/>
        <v>474944.6878155329</v>
      </c>
      <c r="P163" s="197">
        <f t="shared" si="352"/>
        <v>4891.1157233997765</v>
      </c>
      <c r="Q163" s="197">
        <f t="shared" si="352"/>
        <v>277.35753525194792</v>
      </c>
      <c r="R163" s="197">
        <f t="shared" si="352"/>
        <v>17.396393100373402</v>
      </c>
      <c r="T163" s="196">
        <f t="shared" si="301"/>
        <v>369166.1766199079</v>
      </c>
      <c r="U163" s="197">
        <f t="shared" si="298"/>
        <v>-10045.283390725224</v>
      </c>
      <c r="V163" s="197">
        <f t="shared" si="298"/>
        <v>-12141.506094366803</v>
      </c>
      <c r="W163" s="197">
        <f t="shared" si="298"/>
        <v>-12257.480860486508</v>
      </c>
      <c r="Y163" s="196">
        <f t="shared" si="302"/>
        <v>263996.30821490788</v>
      </c>
      <c r="Z163" s="197">
        <f t="shared" si="303"/>
        <v>-20758.632071725224</v>
      </c>
      <c r="AA163" s="197">
        <f t="shared" si="304"/>
        <v>-20237.152096516853</v>
      </c>
      <c r="AB163" s="197">
        <f t="shared" si="305"/>
        <v>-20203.411585701528</v>
      </c>
      <c r="AC163" s="8"/>
      <c r="AD163" s="197">
        <f t="shared" si="306"/>
        <v>-2689281.0061938418</v>
      </c>
      <c r="AE163" s="197">
        <f t="shared" si="307"/>
        <v>-379855.10120347521</v>
      </c>
      <c r="AF163" s="197">
        <f t="shared" si="308"/>
        <v>-307440.28694128006</v>
      </c>
      <c r="AG163" s="197">
        <f t="shared" si="309"/>
        <v>-303294.72328892816</v>
      </c>
    </row>
    <row r="164" spans="13:33" s="217" customFormat="1" x14ac:dyDescent="0.3">
      <c r="M164" s="237"/>
      <c r="N164" s="207"/>
      <c r="O164" s="183">
        <f>O124*O133</f>
        <v>29199.978282786709</v>
      </c>
      <c r="P164" s="184">
        <f t="shared" ref="P164:R164" si="353">P124*P133</f>
        <v>285.16492395541076</v>
      </c>
      <c r="Q164" s="184">
        <f t="shared" si="353"/>
        <v>15.639200109765625</v>
      </c>
      <c r="R164" s="184">
        <f t="shared" si="353"/>
        <v>0.96510382586428789</v>
      </c>
      <c r="T164" s="184">
        <f t="shared" ref="T164" si="354">O164-T$147</f>
        <v>-76578.532912838302</v>
      </c>
      <c r="U164" s="184">
        <f t="shared" ref="U164" si="355">P164-U$147</f>
        <v>-14651.234190169591</v>
      </c>
      <c r="V164" s="184">
        <f t="shared" ref="V164" si="356">Q164-V$147</f>
        <v>-12403.224429508984</v>
      </c>
      <c r="W164" s="184">
        <f t="shared" ref="W164" si="357">R164-W$147</f>
        <v>-12273.912149761018</v>
      </c>
      <c r="Y164" s="184">
        <f t="shared" ref="Y164" si="358">O164-Y$147</f>
        <v>-181748.40131783829</v>
      </c>
      <c r="Z164" s="184">
        <f t="shared" ref="Z164" si="359">P164-Z$147</f>
        <v>-25364.58287116959</v>
      </c>
      <c r="AA164" s="184">
        <f t="shared" ref="AA164" si="360">Q164-AA$147</f>
        <v>-20498.870431659034</v>
      </c>
      <c r="AB164" s="184">
        <f t="shared" ref="AB164" si="361">R164-AB$147</f>
        <v>-20219.842874976039</v>
      </c>
      <c r="AC164" s="207"/>
      <c r="AD164" s="234"/>
      <c r="AE164" s="234"/>
      <c r="AF164" s="234"/>
      <c r="AG164" s="234"/>
    </row>
    <row r="165" spans="13:33" ht="28.8" x14ac:dyDescent="0.3">
      <c r="M165" s="169" t="s">
        <v>898</v>
      </c>
      <c r="O165" s="183">
        <f t="shared" ref="O165:R167" si="362">O125*O134</f>
        <v>31708.598395618061</v>
      </c>
      <c r="P165" s="184">
        <f t="shared" si="362"/>
        <v>316.91973833345412</v>
      </c>
      <c r="Q165" s="184">
        <f t="shared" si="362"/>
        <v>17.668708318945733</v>
      </c>
      <c r="R165" s="184">
        <f t="shared" si="362"/>
        <v>1.0985900155331201</v>
      </c>
      <c r="T165" s="184">
        <f t="shared" si="301"/>
        <v>-74069.912800006947</v>
      </c>
      <c r="U165" s="184">
        <f t="shared" si="298"/>
        <v>-14619.479375791547</v>
      </c>
      <c r="V165" s="184">
        <f t="shared" si="298"/>
        <v>-12401.194921299804</v>
      </c>
      <c r="W165" s="184">
        <f t="shared" si="298"/>
        <v>-12273.778663571347</v>
      </c>
      <c r="Y165" s="184">
        <f t="shared" si="302"/>
        <v>-179239.78120500693</v>
      </c>
      <c r="Z165" s="184">
        <f t="shared" si="303"/>
        <v>-25332.828056791546</v>
      </c>
      <c r="AA165" s="184">
        <f t="shared" si="304"/>
        <v>-20496.840923449854</v>
      </c>
      <c r="AB165" s="184">
        <f t="shared" si="305"/>
        <v>-20219.70938878637</v>
      </c>
      <c r="AD165" s="184">
        <f t="shared" si="306"/>
        <v>-3132517.0956137567</v>
      </c>
      <c r="AE165" s="184">
        <f t="shared" si="307"/>
        <v>-384429.29718854156</v>
      </c>
      <c r="AF165" s="184">
        <f t="shared" si="308"/>
        <v>-307699.97576821304</v>
      </c>
      <c r="AG165" s="184">
        <f t="shared" si="309"/>
        <v>-303311.02109201299</v>
      </c>
    </row>
    <row r="166" spans="13:33" x14ac:dyDescent="0.3">
      <c r="M166" s="169"/>
      <c r="O166" s="183">
        <f t="shared" si="362"/>
        <v>33487.191404224002</v>
      </c>
      <c r="P166" s="184">
        <f t="shared" si="362"/>
        <v>340.41955262448533</v>
      </c>
      <c r="Q166" s="184">
        <f t="shared" si="362"/>
        <v>19.184824473667149</v>
      </c>
      <c r="R166" s="184">
        <f t="shared" si="362"/>
        <v>1.199021043418</v>
      </c>
      <c r="T166" s="184">
        <f t="shared" si="301"/>
        <v>-72291.319791401009</v>
      </c>
      <c r="U166" s="184">
        <f t="shared" si="298"/>
        <v>-14595.979561500515</v>
      </c>
      <c r="V166" s="184">
        <f t="shared" si="298"/>
        <v>-12399.678805145084</v>
      </c>
      <c r="W166" s="184">
        <f t="shared" si="298"/>
        <v>-12273.678232543463</v>
      </c>
      <c r="Y166" s="184">
        <f t="shared" si="302"/>
        <v>-177461.188196401</v>
      </c>
      <c r="Z166" s="184">
        <f t="shared" si="303"/>
        <v>-25309.328242500516</v>
      </c>
      <c r="AA166" s="184">
        <f t="shared" si="304"/>
        <v>-20495.324807295132</v>
      </c>
      <c r="AB166" s="184">
        <f t="shared" si="305"/>
        <v>-20219.608957758483</v>
      </c>
      <c r="AD166" s="184">
        <f t="shared" si="306"/>
        <v>-3130738.5026051509</v>
      </c>
      <c r="AE166" s="184">
        <f t="shared" si="307"/>
        <v>-384405.79737425054</v>
      </c>
      <c r="AF166" s="184">
        <f t="shared" si="308"/>
        <v>-307698.45965205831</v>
      </c>
      <c r="AG166" s="184">
        <f t="shared" si="309"/>
        <v>-303310.92066098511</v>
      </c>
    </row>
    <row r="167" spans="13:33" x14ac:dyDescent="0.3">
      <c r="M167" s="111"/>
      <c r="N167" s="8"/>
      <c r="O167" s="193">
        <f t="shared" si="362"/>
        <v>34598.619642191137</v>
      </c>
      <c r="P167" s="197">
        <f t="shared" si="362"/>
        <v>356.30644342647372</v>
      </c>
      <c r="Q167" s="197">
        <f t="shared" si="362"/>
        <v>20.204853561400181</v>
      </c>
      <c r="R167" s="197">
        <f t="shared" si="362"/>
        <v>1.2672869145967378</v>
      </c>
      <c r="T167" s="197">
        <f t="shared" si="301"/>
        <v>-71179.891553433874</v>
      </c>
      <c r="U167" s="197">
        <f t="shared" si="298"/>
        <v>-14580.092670698526</v>
      </c>
      <c r="V167" s="197">
        <f t="shared" si="298"/>
        <v>-12398.658776057351</v>
      </c>
      <c r="W167" s="197">
        <f t="shared" si="298"/>
        <v>-12273.609966672284</v>
      </c>
      <c r="Y167" s="197">
        <f t="shared" si="302"/>
        <v>-176349.75995843386</v>
      </c>
      <c r="Z167" s="197">
        <f t="shared" si="303"/>
        <v>-25293.441351698526</v>
      </c>
      <c r="AA167" s="197">
        <f t="shared" si="304"/>
        <v>-20494.304778207399</v>
      </c>
      <c r="AB167" s="197">
        <f t="shared" si="305"/>
        <v>-20219.540691887305</v>
      </c>
      <c r="AC167" s="8"/>
      <c r="AD167" s="197">
        <f t="shared" si="306"/>
        <v>-3129627.0743671837</v>
      </c>
      <c r="AE167" s="197">
        <f t="shared" si="307"/>
        <v>-384389.91048344853</v>
      </c>
      <c r="AF167" s="197">
        <f t="shared" si="308"/>
        <v>-307697.43962297059</v>
      </c>
      <c r="AG167" s="197">
        <f t="shared" si="309"/>
        <v>-303310.85239511397</v>
      </c>
    </row>
    <row r="168" spans="13:33" s="217" customFormat="1" x14ac:dyDescent="0.3">
      <c r="M168" s="237"/>
      <c r="N168" s="207"/>
      <c r="O168" s="184">
        <f>O128*O133</f>
        <v>3981.8152203800064</v>
      </c>
      <c r="P168" s="184">
        <f t="shared" ref="P168:R168" si="363">P128*P133</f>
        <v>38.886125993919656</v>
      </c>
      <c r="Q168" s="184">
        <f t="shared" si="363"/>
        <v>2.1326181967862214</v>
      </c>
      <c r="R168" s="184">
        <f t="shared" si="363"/>
        <v>0.13160506716331202</v>
      </c>
      <c r="T168" s="184">
        <f t="shared" ref="T168" si="364">O168-T$147</f>
        <v>-101796.69597524499</v>
      </c>
      <c r="U168" s="184">
        <f t="shared" ref="U168" si="365">P168-U$147</f>
        <v>-14897.51298813108</v>
      </c>
      <c r="V168" s="184">
        <f t="shared" ref="V168" si="366">Q168-V$147</f>
        <v>-12416.731011421964</v>
      </c>
      <c r="W168" s="184">
        <f t="shared" ref="W168" si="367">R168-W$147</f>
        <v>-12274.745648519718</v>
      </c>
      <c r="Y168" s="234"/>
      <c r="Z168" s="234"/>
      <c r="AA168" s="234"/>
      <c r="AB168" s="234"/>
      <c r="AC168" s="207"/>
      <c r="AD168" s="234"/>
      <c r="AE168" s="234"/>
      <c r="AF168" s="234"/>
      <c r="AG168" s="234"/>
    </row>
    <row r="169" spans="13:33" x14ac:dyDescent="0.3">
      <c r="M169" s="169" t="s">
        <v>825</v>
      </c>
      <c r="O169" s="184">
        <f t="shared" ref="O169:R171" si="368">O129*O134</f>
        <v>4323.8997812206453</v>
      </c>
      <c r="P169" s="184">
        <f t="shared" si="368"/>
        <v>43.216327954561926</v>
      </c>
      <c r="Q169" s="184">
        <f t="shared" si="368"/>
        <v>2.4093693162198728</v>
      </c>
      <c r="R169" s="184">
        <f t="shared" si="368"/>
        <v>0.14980772939088002</v>
      </c>
      <c r="T169" s="184">
        <f t="shared" si="301"/>
        <v>-101454.61141440435</v>
      </c>
      <c r="U169" s="184">
        <f t="shared" si="298"/>
        <v>-14893.182786170439</v>
      </c>
      <c r="V169" s="184">
        <f t="shared" si="298"/>
        <v>-12416.454260302531</v>
      </c>
      <c r="W169" s="184">
        <f t="shared" si="298"/>
        <v>-12274.72744585749</v>
      </c>
      <c r="Y169" s="184">
        <f t="shared" si="302"/>
        <v>-206624.47981940434</v>
      </c>
      <c r="Z169" s="184">
        <f t="shared" si="303"/>
        <v>-25606.53146717044</v>
      </c>
      <c r="AA169" s="184">
        <f t="shared" si="304"/>
        <v>-20512.100262452579</v>
      </c>
      <c r="AB169" s="184">
        <f t="shared" si="305"/>
        <v>-20220.658171072511</v>
      </c>
      <c r="AD169" s="184">
        <f t="shared" si="306"/>
        <v>-3159901.7942281542</v>
      </c>
      <c r="AE169" s="184">
        <f t="shared" si="307"/>
        <v>-384703.00059892045</v>
      </c>
      <c r="AF169" s="184">
        <f t="shared" si="308"/>
        <v>-307715.23510721576</v>
      </c>
      <c r="AG169" s="184">
        <f t="shared" si="309"/>
        <v>-303311.96987429913</v>
      </c>
    </row>
    <row r="170" spans="13:33" x14ac:dyDescent="0.3">
      <c r="M170" s="168" t="s">
        <v>900</v>
      </c>
      <c r="O170" s="184">
        <f t="shared" si="368"/>
        <v>4566.4351914850913</v>
      </c>
      <c r="P170" s="184">
        <f t="shared" si="368"/>
        <v>46.42084808515709</v>
      </c>
      <c r="Q170" s="184">
        <f t="shared" si="368"/>
        <v>2.6161124282273387</v>
      </c>
      <c r="R170" s="184">
        <f t="shared" si="368"/>
        <v>0.16350286955700002</v>
      </c>
      <c r="T170" s="184">
        <f t="shared" si="301"/>
        <v>-101212.07600413992</v>
      </c>
      <c r="U170" s="184">
        <f t="shared" ref="U170:U171" si="369">P170-U$147</f>
        <v>-14889.978266039843</v>
      </c>
      <c r="V170" s="184">
        <f t="shared" ref="V170:V171" si="370">Q170-V$147</f>
        <v>-12416.247517190523</v>
      </c>
      <c r="W170" s="184">
        <f t="shared" ref="W170:W171" si="371">R170-W$147</f>
        <v>-12274.713750717325</v>
      </c>
      <c r="Y170" s="184">
        <f t="shared" si="302"/>
        <v>-206381.94440913989</v>
      </c>
      <c r="Z170" s="184">
        <f t="shared" si="303"/>
        <v>-25603.326947039845</v>
      </c>
      <c r="AA170" s="184">
        <f t="shared" si="304"/>
        <v>-20511.893519340574</v>
      </c>
      <c r="AB170" s="184">
        <f t="shared" si="305"/>
        <v>-20220.644475932346</v>
      </c>
      <c r="AD170" s="184">
        <f t="shared" si="306"/>
        <v>-3159659.2588178897</v>
      </c>
      <c r="AE170" s="184">
        <f t="shared" si="307"/>
        <v>-384699.79607878986</v>
      </c>
      <c r="AF170" s="184">
        <f t="shared" si="308"/>
        <v>-307715.02836410375</v>
      </c>
      <c r="AG170" s="184">
        <f t="shared" si="309"/>
        <v>-303311.95617915899</v>
      </c>
    </row>
    <row r="171" spans="13:33" x14ac:dyDescent="0.3">
      <c r="M171" s="8"/>
      <c r="N171" s="8"/>
      <c r="O171" s="184">
        <f t="shared" si="368"/>
        <v>4717.9935875715191</v>
      </c>
      <c r="P171" s="184">
        <f t="shared" si="368"/>
        <v>48.587242285428239</v>
      </c>
      <c r="Q171" s="184">
        <f t="shared" si="368"/>
        <v>2.7552073038272975</v>
      </c>
      <c r="R171" s="184">
        <f t="shared" si="368"/>
        <v>0.17281185199046428</v>
      </c>
      <c r="T171" s="184">
        <f t="shared" si="301"/>
        <v>-101060.51760805349</v>
      </c>
      <c r="U171" s="184">
        <f t="shared" si="369"/>
        <v>-14887.811871839573</v>
      </c>
      <c r="V171" s="184">
        <f t="shared" si="370"/>
        <v>-12416.108422314923</v>
      </c>
      <c r="W171" s="184">
        <f t="shared" si="371"/>
        <v>-12274.70444173489</v>
      </c>
      <c r="Y171" s="184">
        <f t="shared" si="302"/>
        <v>-206230.38601305347</v>
      </c>
      <c r="Z171" s="184">
        <f t="shared" si="303"/>
        <v>-25601.16055283957</v>
      </c>
      <c r="AA171" s="184">
        <f t="shared" si="304"/>
        <v>-20511.754424464973</v>
      </c>
      <c r="AB171" s="184">
        <f t="shared" si="305"/>
        <v>-20220.635166949913</v>
      </c>
      <c r="AD171" s="184">
        <f t="shared" si="306"/>
        <v>-3159507.7004218032</v>
      </c>
      <c r="AE171" s="184">
        <f t="shared" si="307"/>
        <v>-384697.62968458957</v>
      </c>
      <c r="AF171" s="184">
        <f t="shared" si="308"/>
        <v>-307714.88926922815</v>
      </c>
      <c r="AG171" s="184">
        <f t="shared" si="309"/>
        <v>-303311.94687017653</v>
      </c>
    </row>
    <row r="174" spans="13:33" x14ac:dyDescent="0.3">
      <c r="M174" s="168" t="s">
        <v>856</v>
      </c>
      <c r="T174" s="178" t="s">
        <v>944</v>
      </c>
      <c r="U174" s="168"/>
      <c r="V174" s="168"/>
      <c r="W174" s="168"/>
      <c r="Y174" s="178" t="s">
        <v>943</v>
      </c>
      <c r="Z174" s="178"/>
      <c r="AA174" s="178"/>
      <c r="AB174" s="178"/>
      <c r="AC174" s="178"/>
      <c r="AD174" s="213" t="s">
        <v>945</v>
      </c>
    </row>
    <row r="175" spans="13:33" x14ac:dyDescent="0.3">
      <c r="M175" s="176" t="s">
        <v>821</v>
      </c>
      <c r="N175" s="168"/>
      <c r="O175" s="188" t="s">
        <v>826</v>
      </c>
      <c r="P175" s="188" t="s">
        <v>827</v>
      </c>
      <c r="Q175" s="188" t="s">
        <v>828</v>
      </c>
      <c r="R175" s="188" t="s">
        <v>829</v>
      </c>
      <c r="T175" s="170">
        <v>105778.511195625</v>
      </c>
      <c r="U175" s="170">
        <v>14936.399114125001</v>
      </c>
      <c r="V175" s="170">
        <v>12418.863629618751</v>
      </c>
      <c r="W175" s="170">
        <v>12274.877253586881</v>
      </c>
      <c r="X175" s="8"/>
      <c r="Y175" s="170">
        <v>210948.37960062499</v>
      </c>
      <c r="Z175" s="170">
        <v>25649.747795125</v>
      </c>
      <c r="AA175" s="170">
        <v>20514.5096317688</v>
      </c>
      <c r="AB175" s="170">
        <v>20220.807978801902</v>
      </c>
      <c r="AC175" s="8"/>
      <c r="AD175" s="170">
        <f>Y175*15</f>
        <v>3164225.6940093748</v>
      </c>
      <c r="AE175" s="170">
        <f>Z175*15</f>
        <v>384746.216926875</v>
      </c>
      <c r="AF175" s="170">
        <f>AA175*15</f>
        <v>307717.644476532</v>
      </c>
      <c r="AG175" s="170">
        <f>AB175*15</f>
        <v>303312.11968202854</v>
      </c>
    </row>
    <row r="176" spans="13:33" s="217" customFormat="1" x14ac:dyDescent="0.3">
      <c r="M176" s="225"/>
      <c r="O176" s="182">
        <f>O108*(O133+O137)</f>
        <v>1361640850.3354187</v>
      </c>
      <c r="P176" s="182">
        <f t="shared" ref="P176:R176" si="372">P108*(P133+P137)</f>
        <v>14588742.608973218</v>
      </c>
      <c r="Q176" s="182">
        <f t="shared" si="372"/>
        <v>824629.39804957376</v>
      </c>
      <c r="R176" s="183">
        <f t="shared" si="372"/>
        <v>55012.281232354006</v>
      </c>
      <c r="T176" s="182">
        <f>O176-T$147</f>
        <v>1361535071.824223</v>
      </c>
      <c r="U176" s="182">
        <f t="shared" ref="U176" si="373">P176-U$147</f>
        <v>14573806.209859094</v>
      </c>
      <c r="V176" s="182">
        <f t="shared" ref="V176" si="374">Q176-V$147</f>
        <v>812210.53441995499</v>
      </c>
      <c r="W176" s="183">
        <f t="shared" ref="W176" si="375">R176-W$147</f>
        <v>42737.403978767121</v>
      </c>
      <c r="X176" s="207"/>
      <c r="Y176" s="182">
        <f>O176-Y$175</f>
        <v>1361429901.9558182</v>
      </c>
      <c r="Z176" s="182">
        <f t="shared" ref="Z176" si="376">P176-Z$175</f>
        <v>14563092.861178093</v>
      </c>
      <c r="AA176" s="182">
        <f t="shared" ref="AA176" si="377">Q176-AA$175</f>
        <v>804114.88841780496</v>
      </c>
      <c r="AB176" s="183">
        <f t="shared" ref="AB176" si="378">R176-AB$175</f>
        <v>34791.473253552103</v>
      </c>
      <c r="AC176" s="207"/>
      <c r="AD176" s="182">
        <f>O176-AD$175</f>
        <v>1358476624.6414094</v>
      </c>
      <c r="AE176" s="182">
        <f t="shared" ref="AE176" si="379">P176-AE$175</f>
        <v>14203996.392046344</v>
      </c>
      <c r="AF176" s="195">
        <f t="shared" ref="AF176" si="380">Q176-AF$175</f>
        <v>516911.75357304176</v>
      </c>
      <c r="AG176" s="184">
        <f t="shared" ref="AG176" si="381">R176-AG$175</f>
        <v>-248299.83844967454</v>
      </c>
    </row>
    <row r="177" spans="13:33" x14ac:dyDescent="0.3">
      <c r="M177" s="210" t="s">
        <v>824</v>
      </c>
      <c r="N177" s="168"/>
      <c r="O177" s="182">
        <f t="shared" ref="O177:R179" si="382">O109*(O134+O138)</f>
        <v>1478256491.8435483</v>
      </c>
      <c r="P177" s="182">
        <f t="shared" si="382"/>
        <v>16178920.487920642</v>
      </c>
      <c r="Q177" s="182">
        <f t="shared" si="382"/>
        <v>931415.56964662403</v>
      </c>
      <c r="R177" s="183">
        <f t="shared" si="382"/>
        <v>62585.788428960012</v>
      </c>
      <c r="T177" s="182">
        <f>O177-T$147</f>
        <v>1478150713.3323526</v>
      </c>
      <c r="U177" s="182">
        <f t="shared" ref="U177:W180" si="383">P177-U$147</f>
        <v>16163984.088806517</v>
      </c>
      <c r="V177" s="182">
        <f t="shared" si="383"/>
        <v>918996.70601700526</v>
      </c>
      <c r="W177" s="183">
        <f t="shared" si="383"/>
        <v>50310.911175373127</v>
      </c>
      <c r="Y177" s="182">
        <f>O177-Y$175</f>
        <v>1478045543.4639478</v>
      </c>
      <c r="Z177" s="182">
        <f t="shared" ref="Z177:AB177" si="384">P177-Z$175</f>
        <v>16153270.740125516</v>
      </c>
      <c r="AA177" s="182">
        <f t="shared" si="384"/>
        <v>910901.06001485523</v>
      </c>
      <c r="AB177" s="183">
        <f t="shared" si="384"/>
        <v>42364.980450158109</v>
      </c>
      <c r="AC177" s="101"/>
      <c r="AD177" s="182">
        <f>O177-AD$175</f>
        <v>1475092266.149539</v>
      </c>
      <c r="AE177" s="182">
        <f t="shared" ref="AE177:AG197" si="385">P177-AE$175</f>
        <v>15794174.270993767</v>
      </c>
      <c r="AF177" s="195">
        <f t="shared" si="385"/>
        <v>623697.92517009203</v>
      </c>
      <c r="AG177" s="184">
        <f t="shared" si="385"/>
        <v>-240726.33125306852</v>
      </c>
    </row>
    <row r="178" spans="13:33" x14ac:dyDescent="0.3">
      <c r="M178" s="210" t="s">
        <v>899</v>
      </c>
      <c r="N178" s="168"/>
      <c r="O178" s="182">
        <f t="shared" si="382"/>
        <v>1560742045.7935987</v>
      </c>
      <c r="P178" s="182">
        <f t="shared" si="382"/>
        <v>17344201.161970496</v>
      </c>
      <c r="Q178" s="182">
        <f t="shared" si="382"/>
        <v>1011144.3699102094</v>
      </c>
      <c r="R178" s="183">
        <f t="shared" si="382"/>
        <v>68281.719002349011</v>
      </c>
      <c r="T178" s="182">
        <f t="shared" ref="T178:T181" si="386">O178-T$147</f>
        <v>1560636267.282403</v>
      </c>
      <c r="U178" s="182">
        <f t="shared" si="383"/>
        <v>17329264.762856372</v>
      </c>
      <c r="V178" s="182">
        <f t="shared" si="383"/>
        <v>998725.50628059066</v>
      </c>
      <c r="W178" s="183">
        <f t="shared" si="383"/>
        <v>56006.841748762134</v>
      </c>
      <c r="Y178" s="182">
        <f t="shared" ref="Y178:Y199" si="387">O178-Y$175</f>
        <v>1560531097.4139981</v>
      </c>
      <c r="Z178" s="182">
        <f t="shared" ref="Z178:Z199" si="388">P178-Z$175</f>
        <v>17318551.414175373</v>
      </c>
      <c r="AA178" s="182">
        <f t="shared" ref="AA178:AA199" si="389">Q178-AA$175</f>
        <v>990629.86027844064</v>
      </c>
      <c r="AB178" s="183">
        <f t="shared" ref="AB178:AB199" si="390">R178-AB$175</f>
        <v>48060.911023547109</v>
      </c>
      <c r="AC178" s="101"/>
      <c r="AD178" s="182">
        <f t="shared" ref="AD178:AD199" si="391">O178-AD$175</f>
        <v>1557577820.0995893</v>
      </c>
      <c r="AE178" s="182">
        <f t="shared" si="385"/>
        <v>16959454.94504362</v>
      </c>
      <c r="AF178" s="195">
        <f t="shared" si="385"/>
        <v>703426.72543367743</v>
      </c>
      <c r="AG178" s="184">
        <f t="shared" si="385"/>
        <v>-235030.40067967953</v>
      </c>
    </row>
    <row r="179" spans="13:33" x14ac:dyDescent="0.3">
      <c r="M179" s="111"/>
      <c r="N179" s="8"/>
      <c r="O179" s="194">
        <f t="shared" si="382"/>
        <v>1611992369.4135339</v>
      </c>
      <c r="P179" s="194">
        <f t="shared" si="382"/>
        <v>18117416.754079551</v>
      </c>
      <c r="Q179" s="194">
        <f t="shared" si="382"/>
        <v>1064720.9497022296</v>
      </c>
      <c r="R179" s="193">
        <f t="shared" si="382"/>
        <v>72146.442733389951</v>
      </c>
      <c r="T179" s="194">
        <f t="shared" si="386"/>
        <v>1611886590.9023383</v>
      </c>
      <c r="U179" s="194">
        <f t="shared" si="383"/>
        <v>18102480.354965426</v>
      </c>
      <c r="V179" s="194">
        <f t="shared" si="383"/>
        <v>1052302.0860726109</v>
      </c>
      <c r="W179" s="193">
        <f t="shared" si="383"/>
        <v>59871.565479803074</v>
      </c>
      <c r="Y179" s="194">
        <f t="shared" si="387"/>
        <v>1611781421.0339334</v>
      </c>
      <c r="Z179" s="194">
        <f t="shared" si="388"/>
        <v>18091767.006284427</v>
      </c>
      <c r="AA179" s="194">
        <f t="shared" si="389"/>
        <v>1044206.4400704608</v>
      </c>
      <c r="AB179" s="193">
        <f t="shared" si="390"/>
        <v>51925.634754588049</v>
      </c>
      <c r="AC179" s="208"/>
      <c r="AD179" s="194">
        <f t="shared" si="391"/>
        <v>1608828143.7195246</v>
      </c>
      <c r="AE179" s="194">
        <f t="shared" si="385"/>
        <v>17732670.537152674</v>
      </c>
      <c r="AF179" s="196">
        <f t="shared" si="385"/>
        <v>757003.30522569758</v>
      </c>
      <c r="AG179" s="197">
        <f t="shared" si="385"/>
        <v>-231165.67694863857</v>
      </c>
    </row>
    <row r="180" spans="13:33" s="217" customFormat="1" x14ac:dyDescent="0.3">
      <c r="M180" s="237"/>
      <c r="N180" s="207"/>
      <c r="O180" s="182">
        <f>O112*(O133+O137)</f>
        <v>13265105.16396765</v>
      </c>
      <c r="P180" s="195">
        <f t="shared" ref="P180:R180" si="392">P112*(P133+P137)</f>
        <v>142123.53049661708</v>
      </c>
      <c r="Q180" s="183">
        <f t="shared" si="392"/>
        <v>8033.5395957989504</v>
      </c>
      <c r="R180" s="184">
        <f t="shared" si="392"/>
        <v>535.9296437655928</v>
      </c>
      <c r="T180" s="182">
        <f t="shared" ref="T180" si="393">O180-T$147</f>
        <v>13159326.652772026</v>
      </c>
      <c r="U180" s="195">
        <f t="shared" si="383"/>
        <v>127187.13138249208</v>
      </c>
      <c r="V180" s="184">
        <f t="shared" si="383"/>
        <v>-4385.3240338198002</v>
      </c>
      <c r="W180" s="184">
        <f t="shared" si="383"/>
        <v>-11738.947609821289</v>
      </c>
      <c r="Y180" s="182">
        <f t="shared" ref="Y180" si="394">O180-Y$175</f>
        <v>13054156.784367025</v>
      </c>
      <c r="Z180" s="195">
        <f t="shared" ref="Z180" si="395">P180-Z$175</f>
        <v>116473.78270149208</v>
      </c>
      <c r="AA180" s="184">
        <f t="shared" ref="AA180" si="396">Q180-AA$175</f>
        <v>-12480.970035969851</v>
      </c>
      <c r="AB180" s="184">
        <f t="shared" ref="AB180" si="397">R180-AB$175</f>
        <v>-19684.878335036308</v>
      </c>
      <c r="AC180" s="208"/>
      <c r="AD180" s="182">
        <f t="shared" ref="AD180" si="398">O180-AD$175</f>
        <v>10100879.469958276</v>
      </c>
      <c r="AE180" s="184">
        <f t="shared" ref="AE180" si="399">P180-AE$175</f>
        <v>-242622.68643025792</v>
      </c>
      <c r="AF180" s="184">
        <f t="shared" ref="AF180" si="400">Q180-AF$175</f>
        <v>-299684.10488073307</v>
      </c>
      <c r="AG180" s="184">
        <f t="shared" ref="AG180" si="401">R180-AG$175</f>
        <v>-302776.19003826292</v>
      </c>
    </row>
    <row r="181" spans="13:33" ht="28.8" x14ac:dyDescent="0.3">
      <c r="M181" s="210" t="s">
        <v>895</v>
      </c>
      <c r="N181" s="168"/>
      <c r="O181" s="182">
        <f t="shared" ref="O181:R183" si="402">O113*(O134+O138)</f>
        <v>14401174.743539849</v>
      </c>
      <c r="P181" s="195">
        <f t="shared" si="402"/>
        <v>157615.04339332291</v>
      </c>
      <c r="Q181" s="183">
        <f t="shared" si="402"/>
        <v>9073.8504794974142</v>
      </c>
      <c r="R181" s="184">
        <f t="shared" si="402"/>
        <v>609.71075087492841</v>
      </c>
      <c r="T181" s="182">
        <f t="shared" si="386"/>
        <v>14295396.232344225</v>
      </c>
      <c r="U181" s="195">
        <f t="shared" ref="U181:U199" si="403">P181-U$147</f>
        <v>142678.64427919791</v>
      </c>
      <c r="V181" s="184">
        <f t="shared" ref="V181:V199" si="404">Q181-V$147</f>
        <v>-3345.0131501213364</v>
      </c>
      <c r="W181" s="184">
        <f t="shared" ref="W181:W199" si="405">R181-W$147</f>
        <v>-11665.166502711952</v>
      </c>
      <c r="Y181" s="182">
        <f t="shared" si="387"/>
        <v>14190226.363939224</v>
      </c>
      <c r="Z181" s="195">
        <f t="shared" si="388"/>
        <v>131965.2955981979</v>
      </c>
      <c r="AA181" s="184">
        <f t="shared" si="389"/>
        <v>-11440.659152271386</v>
      </c>
      <c r="AB181" s="184">
        <f t="shared" si="390"/>
        <v>-19611.097227926974</v>
      </c>
      <c r="AC181" s="101"/>
      <c r="AD181" s="182">
        <f t="shared" si="391"/>
        <v>11236949.049530474</v>
      </c>
      <c r="AE181" s="184">
        <f t="shared" si="385"/>
        <v>-227131.17353355209</v>
      </c>
      <c r="AF181" s="184">
        <f t="shared" si="385"/>
        <v>-298643.79399703461</v>
      </c>
      <c r="AG181" s="184">
        <f t="shared" si="385"/>
        <v>-302702.40893115359</v>
      </c>
    </row>
    <row r="182" spans="13:33" x14ac:dyDescent="0.3">
      <c r="M182" s="210"/>
      <c r="N182" s="168"/>
      <c r="O182" s="182">
        <f t="shared" si="402"/>
        <v>15204749.010121241</v>
      </c>
      <c r="P182" s="195">
        <f t="shared" si="402"/>
        <v>168967.20771991659</v>
      </c>
      <c r="Q182" s="183">
        <f t="shared" si="402"/>
        <v>9850.5684516652618</v>
      </c>
      <c r="R182" s="184">
        <f t="shared" si="402"/>
        <v>665.20050652088412</v>
      </c>
      <c r="T182" s="182">
        <f t="shared" ref="T182:T199" si="406">O182-T$147</f>
        <v>15098970.498925617</v>
      </c>
      <c r="U182" s="195">
        <f t="shared" si="403"/>
        <v>154030.80860579159</v>
      </c>
      <c r="V182" s="184">
        <f t="shared" si="404"/>
        <v>-2568.2951779534887</v>
      </c>
      <c r="W182" s="184">
        <f t="shared" si="405"/>
        <v>-11609.676747065998</v>
      </c>
      <c r="Y182" s="182">
        <f t="shared" si="387"/>
        <v>14993800.630520616</v>
      </c>
      <c r="Z182" s="195">
        <f t="shared" si="388"/>
        <v>143317.45992479159</v>
      </c>
      <c r="AA182" s="184">
        <f t="shared" si="389"/>
        <v>-10663.941180103538</v>
      </c>
      <c r="AB182" s="184">
        <f t="shared" si="390"/>
        <v>-19555.607472281019</v>
      </c>
      <c r="AC182" s="101"/>
      <c r="AD182" s="182">
        <f t="shared" si="391"/>
        <v>12040523.316111866</v>
      </c>
      <c r="AE182" s="184">
        <f t="shared" si="385"/>
        <v>-215779.00920695841</v>
      </c>
      <c r="AF182" s="184">
        <f t="shared" si="385"/>
        <v>-297867.07602486672</v>
      </c>
      <c r="AG182" s="184">
        <f t="shared" si="385"/>
        <v>-302646.91917550768</v>
      </c>
    </row>
    <row r="183" spans="13:33" x14ac:dyDescent="0.3">
      <c r="M183" s="111"/>
      <c r="N183" s="8"/>
      <c r="O183" s="194">
        <f t="shared" si="402"/>
        <v>15704029.66282665</v>
      </c>
      <c r="P183" s="196">
        <f t="shared" si="402"/>
        <v>176499.87401824299</v>
      </c>
      <c r="Q183" s="193">
        <f t="shared" si="402"/>
        <v>10372.511491999121</v>
      </c>
      <c r="R183" s="197">
        <f t="shared" si="402"/>
        <v>702.85064510868494</v>
      </c>
      <c r="T183" s="194">
        <f t="shared" si="406"/>
        <v>15598251.151631026</v>
      </c>
      <c r="U183" s="196">
        <f t="shared" si="403"/>
        <v>161563.47490411799</v>
      </c>
      <c r="V183" s="197">
        <f t="shared" si="404"/>
        <v>-2046.3521376196295</v>
      </c>
      <c r="W183" s="197">
        <f t="shared" si="405"/>
        <v>-11572.026608478196</v>
      </c>
      <c r="Y183" s="194">
        <f t="shared" si="387"/>
        <v>15493081.283226024</v>
      </c>
      <c r="Z183" s="196">
        <f t="shared" si="388"/>
        <v>150850.12622311799</v>
      </c>
      <c r="AA183" s="197">
        <f t="shared" si="389"/>
        <v>-10141.998139769679</v>
      </c>
      <c r="AB183" s="197">
        <f t="shared" si="390"/>
        <v>-19517.957333693219</v>
      </c>
      <c r="AC183" s="208"/>
      <c r="AD183" s="194">
        <f t="shared" si="391"/>
        <v>12539803.968817275</v>
      </c>
      <c r="AE183" s="197">
        <f t="shared" si="385"/>
        <v>-208246.34290863201</v>
      </c>
      <c r="AF183" s="197">
        <f t="shared" si="385"/>
        <v>-297345.13298453286</v>
      </c>
      <c r="AG183" s="197">
        <f t="shared" si="385"/>
        <v>-302609.26903691987</v>
      </c>
    </row>
    <row r="184" spans="13:33" s="217" customFormat="1" x14ac:dyDescent="0.3">
      <c r="M184" s="237"/>
      <c r="N184" s="207"/>
      <c r="O184" s="182">
        <f>O116*(O133+O137)</f>
        <v>3217557.3293425948</v>
      </c>
      <c r="P184" s="183">
        <f t="shared" ref="P184:R184" si="407">P116*(P133+P137)</f>
        <v>34473.198785003711</v>
      </c>
      <c r="Q184" s="184">
        <f t="shared" si="407"/>
        <v>1948.5992675911432</v>
      </c>
      <c r="R184" s="184">
        <f t="shared" si="407"/>
        <v>129.99402055205252</v>
      </c>
      <c r="T184" s="182">
        <f t="shared" ref="T184" si="408">O184-T$147</f>
        <v>3111778.8181469697</v>
      </c>
      <c r="U184" s="183">
        <f t="shared" ref="U184" si="409">P184-U$147</f>
        <v>19536.79967087871</v>
      </c>
      <c r="V184" s="184">
        <f t="shared" ref="V184" si="410">Q184-V$147</f>
        <v>-10470.264362027607</v>
      </c>
      <c r="W184" s="184">
        <f t="shared" ref="W184" si="411">R184-W$147</f>
        <v>-12144.883233034829</v>
      </c>
      <c r="Y184" s="182">
        <f t="shared" ref="Y184" si="412">O184-Y$175</f>
        <v>3006608.9497419698</v>
      </c>
      <c r="Z184" s="183">
        <f t="shared" ref="Z184" si="413">P184-Z$175</f>
        <v>8823.450989878711</v>
      </c>
      <c r="AA184" s="184">
        <f t="shared" ref="AA184" si="414">Q184-AA$175</f>
        <v>-18565.910364177656</v>
      </c>
      <c r="AB184" s="184">
        <f t="shared" ref="AB184" si="415">R184-AB$175</f>
        <v>-20090.813958249848</v>
      </c>
      <c r="AC184" s="208"/>
      <c r="AD184" s="195">
        <f t="shared" ref="AD184" si="416">O184-AD$175</f>
        <v>53331.635333220009</v>
      </c>
      <c r="AE184" s="184">
        <f t="shared" ref="AE184" si="417">P184-AE$175</f>
        <v>-350273.01814187132</v>
      </c>
      <c r="AF184" s="184">
        <f t="shared" ref="AF184" si="418">Q184-AF$175</f>
        <v>-305769.04520894086</v>
      </c>
      <c r="AG184" s="184">
        <f t="shared" ref="AG184" si="419">R184-AG$175</f>
        <v>-303182.12566147652</v>
      </c>
    </row>
    <row r="185" spans="13:33" ht="28.8" x14ac:dyDescent="0.3">
      <c r="M185" s="210" t="s">
        <v>896</v>
      </c>
      <c r="N185" s="168"/>
      <c r="O185" s="182">
        <f t="shared" ref="O185:R187" si="420">O117*(O134+O138)</f>
        <v>3493120.0902263052</v>
      </c>
      <c r="P185" s="183">
        <f t="shared" si="420"/>
        <v>38230.789112956474</v>
      </c>
      <c r="Q185" s="184">
        <f t="shared" si="420"/>
        <v>2200.9349910749729</v>
      </c>
      <c r="R185" s="184">
        <f t="shared" si="420"/>
        <v>147.89021805763252</v>
      </c>
      <c r="T185" s="182">
        <f t="shared" si="406"/>
        <v>3387341.57903068</v>
      </c>
      <c r="U185" s="183">
        <f t="shared" si="403"/>
        <v>23294.389998831473</v>
      </c>
      <c r="V185" s="184">
        <f t="shared" si="404"/>
        <v>-10217.928638543777</v>
      </c>
      <c r="W185" s="184">
        <f t="shared" si="405"/>
        <v>-12126.987035529248</v>
      </c>
      <c r="Y185" s="182">
        <f t="shared" si="387"/>
        <v>3282171.7106256802</v>
      </c>
      <c r="Z185" s="183">
        <f t="shared" si="388"/>
        <v>12581.041317831474</v>
      </c>
      <c r="AA185" s="184">
        <f t="shared" si="389"/>
        <v>-18313.574640693827</v>
      </c>
      <c r="AB185" s="184">
        <f t="shared" si="390"/>
        <v>-20072.917760744269</v>
      </c>
      <c r="AC185" s="101"/>
      <c r="AD185" s="195">
        <f t="shared" si="391"/>
        <v>328894.39621693036</v>
      </c>
      <c r="AE185" s="184">
        <f t="shared" si="385"/>
        <v>-346515.4278139185</v>
      </c>
      <c r="AF185" s="184">
        <f t="shared" si="385"/>
        <v>-305516.70948545705</v>
      </c>
      <c r="AG185" s="184">
        <f t="shared" si="385"/>
        <v>-303164.22946397093</v>
      </c>
    </row>
    <row r="186" spans="13:33" x14ac:dyDescent="0.3">
      <c r="M186" s="210"/>
      <c r="N186" s="168"/>
      <c r="O186" s="182">
        <f t="shared" si="420"/>
        <v>3688033.4542102744</v>
      </c>
      <c r="P186" s="183">
        <f t="shared" si="420"/>
        <v>40984.347345736292</v>
      </c>
      <c r="Q186" s="184">
        <f t="shared" si="420"/>
        <v>2389.3341460978249</v>
      </c>
      <c r="R186" s="184">
        <f t="shared" si="420"/>
        <v>161.34970200255071</v>
      </c>
      <c r="T186" s="182">
        <f t="shared" si="406"/>
        <v>3582254.9430146492</v>
      </c>
      <c r="U186" s="183">
        <f t="shared" si="403"/>
        <v>26047.948231611292</v>
      </c>
      <c r="V186" s="184">
        <f t="shared" si="404"/>
        <v>-10029.529483520926</v>
      </c>
      <c r="W186" s="184">
        <f t="shared" si="405"/>
        <v>-12113.52755158433</v>
      </c>
      <c r="Y186" s="182">
        <f t="shared" si="387"/>
        <v>3477085.0746096494</v>
      </c>
      <c r="Z186" s="183">
        <f t="shared" si="388"/>
        <v>15334.599550611292</v>
      </c>
      <c r="AA186" s="184">
        <f t="shared" si="389"/>
        <v>-18125.175485670974</v>
      </c>
      <c r="AB186" s="184">
        <f t="shared" si="390"/>
        <v>-20059.458276799352</v>
      </c>
      <c r="AC186" s="101"/>
      <c r="AD186" s="195">
        <f t="shared" si="391"/>
        <v>523807.76020089956</v>
      </c>
      <c r="AE186" s="184">
        <f t="shared" si="385"/>
        <v>-343761.86958113872</v>
      </c>
      <c r="AF186" s="184">
        <f t="shared" si="385"/>
        <v>-305328.31033043418</v>
      </c>
      <c r="AG186" s="184">
        <f t="shared" si="385"/>
        <v>-303150.769980026</v>
      </c>
    </row>
    <row r="187" spans="13:33" x14ac:dyDescent="0.3">
      <c r="M187" s="111"/>
      <c r="N187" s="8"/>
      <c r="O187" s="194">
        <f t="shared" si="420"/>
        <v>3809137.9689241811</v>
      </c>
      <c r="P187" s="193">
        <f t="shared" si="420"/>
        <v>42811.45578988998</v>
      </c>
      <c r="Q187" s="197">
        <f t="shared" si="420"/>
        <v>2515.935604146368</v>
      </c>
      <c r="R187" s="197">
        <f t="shared" si="420"/>
        <v>170.48204417900047</v>
      </c>
      <c r="T187" s="194">
        <f t="shared" si="406"/>
        <v>3703359.4577285559</v>
      </c>
      <c r="U187" s="193">
        <f t="shared" si="403"/>
        <v>27875.056675764979</v>
      </c>
      <c r="V187" s="197">
        <f t="shared" si="404"/>
        <v>-9902.9280254723817</v>
      </c>
      <c r="W187" s="197">
        <f t="shared" si="405"/>
        <v>-12104.395209407881</v>
      </c>
      <c r="Y187" s="194">
        <f t="shared" si="387"/>
        <v>3598189.5893235561</v>
      </c>
      <c r="Z187" s="193">
        <f t="shared" si="388"/>
        <v>17161.70799476498</v>
      </c>
      <c r="AA187" s="197">
        <f t="shared" si="389"/>
        <v>-17998.574027622431</v>
      </c>
      <c r="AB187" s="197">
        <f t="shared" si="390"/>
        <v>-20050.325934622902</v>
      </c>
      <c r="AC187" s="101"/>
      <c r="AD187" s="196">
        <f t="shared" si="391"/>
        <v>644912.27491480624</v>
      </c>
      <c r="AE187" s="197">
        <f t="shared" si="385"/>
        <v>-341934.76113698503</v>
      </c>
      <c r="AF187" s="197">
        <f t="shared" si="385"/>
        <v>-305201.70887238561</v>
      </c>
      <c r="AG187" s="197">
        <f t="shared" si="385"/>
        <v>-303141.63763784955</v>
      </c>
    </row>
    <row r="188" spans="13:33" s="217" customFormat="1" x14ac:dyDescent="0.3">
      <c r="M188" s="237"/>
      <c r="N188" s="207"/>
      <c r="O188" s="195">
        <f>O120*(O133+O137)</f>
        <v>411215.53680129652</v>
      </c>
      <c r="P188" s="184">
        <f t="shared" ref="P188:R188" si="421">P120*(P133+P137)</f>
        <v>4405.8002679099118</v>
      </c>
      <c r="Q188" s="184">
        <f t="shared" si="421"/>
        <v>249.03807821097129</v>
      </c>
      <c r="R188" s="184">
        <f t="shared" si="421"/>
        <v>16.613708932170908</v>
      </c>
      <c r="T188" s="195">
        <f t="shared" ref="T188" si="422">O188-T$147</f>
        <v>305437.02560567152</v>
      </c>
      <c r="U188" s="184">
        <f t="shared" ref="U188" si="423">P188-U$147</f>
        <v>-10530.598846215089</v>
      </c>
      <c r="V188" s="184">
        <f t="shared" ref="V188" si="424">Q188-V$147</f>
        <v>-12169.825551407779</v>
      </c>
      <c r="W188" s="184">
        <f t="shared" ref="W188" si="425">R188-W$147</f>
        <v>-12258.26354465471</v>
      </c>
      <c r="Y188" s="195">
        <f t="shared" ref="Y188" si="426">O188-Y$175</f>
        <v>200267.15720067153</v>
      </c>
      <c r="Z188" s="184">
        <f t="shared" ref="Z188" si="427">P188-Z$175</f>
        <v>-21243.947527215088</v>
      </c>
      <c r="AA188" s="184">
        <f t="shared" ref="AA188" si="428">Q188-AA$175</f>
        <v>-20265.471553557829</v>
      </c>
      <c r="AB188" s="184">
        <f t="shared" ref="AB188" si="429">R188-AB$175</f>
        <v>-20204.194269869731</v>
      </c>
      <c r="AC188" s="101"/>
      <c r="AD188" s="184">
        <f t="shared" ref="AD188" si="430">O188-AD$175</f>
        <v>-2753010.1572080785</v>
      </c>
      <c r="AE188" s="184">
        <f t="shared" ref="AE188" si="431">P188-AE$175</f>
        <v>-380340.41665896511</v>
      </c>
      <c r="AF188" s="184">
        <f t="shared" ref="AF188" si="432">Q188-AF$175</f>
        <v>-307468.60639832105</v>
      </c>
      <c r="AG188" s="184">
        <f t="shared" ref="AG188" si="433">R188-AG$175</f>
        <v>-303295.50597309635</v>
      </c>
    </row>
    <row r="189" spans="13:33" ht="28.8" x14ac:dyDescent="0.3">
      <c r="M189" s="210" t="s">
        <v>897</v>
      </c>
      <c r="N189" s="168"/>
      <c r="O189" s="195">
        <f t="shared" ref="O189:R191" si="434">O121*(O134+O138)</f>
        <v>446433.46053675166</v>
      </c>
      <c r="P189" s="184">
        <f t="shared" si="434"/>
        <v>4886.0339873520343</v>
      </c>
      <c r="Q189" s="184">
        <f t="shared" si="434"/>
        <v>281.28750203328053</v>
      </c>
      <c r="R189" s="184">
        <f t="shared" si="434"/>
        <v>18.900908105545927</v>
      </c>
      <c r="T189" s="195">
        <f t="shared" si="406"/>
        <v>340654.94934112666</v>
      </c>
      <c r="U189" s="184">
        <f t="shared" si="403"/>
        <v>-10050.365126772966</v>
      </c>
      <c r="V189" s="184">
        <f t="shared" si="404"/>
        <v>-12137.576127585469</v>
      </c>
      <c r="W189" s="184">
        <f t="shared" si="405"/>
        <v>-12255.976345481335</v>
      </c>
      <c r="Y189" s="195">
        <f t="shared" si="387"/>
        <v>235485.08093612667</v>
      </c>
      <c r="Z189" s="184">
        <f t="shared" si="388"/>
        <v>-20763.713807772965</v>
      </c>
      <c r="AA189" s="184">
        <f t="shared" si="389"/>
        <v>-20233.222129735521</v>
      </c>
      <c r="AB189" s="184">
        <f t="shared" si="390"/>
        <v>-20201.907070696358</v>
      </c>
      <c r="AC189" s="101"/>
      <c r="AD189" s="184">
        <f t="shared" si="391"/>
        <v>-2717792.2334726229</v>
      </c>
      <c r="AE189" s="184">
        <f t="shared" si="385"/>
        <v>-379860.18293952296</v>
      </c>
      <c r="AF189" s="184">
        <f t="shared" si="385"/>
        <v>-307436.35697449872</v>
      </c>
      <c r="AG189" s="184">
        <f t="shared" si="385"/>
        <v>-303293.218773923</v>
      </c>
    </row>
    <row r="190" spans="13:33" x14ac:dyDescent="0.3">
      <c r="M190" s="210"/>
      <c r="N190" s="168"/>
      <c r="O190" s="195">
        <f t="shared" si="434"/>
        <v>471344.09782966686</v>
      </c>
      <c r="P190" s="184">
        <f t="shared" si="434"/>
        <v>5237.9487509150913</v>
      </c>
      <c r="Q190" s="184">
        <f t="shared" si="434"/>
        <v>305.36559971288324</v>
      </c>
      <c r="R190" s="184">
        <f t="shared" si="434"/>
        <v>20.621079138709405</v>
      </c>
      <c r="T190" s="195">
        <f t="shared" si="406"/>
        <v>365565.58663404186</v>
      </c>
      <c r="U190" s="184">
        <f t="shared" si="403"/>
        <v>-9698.4503632099095</v>
      </c>
      <c r="V190" s="184">
        <f t="shared" si="404"/>
        <v>-12113.498029905868</v>
      </c>
      <c r="W190" s="184">
        <f t="shared" si="405"/>
        <v>-12254.256174448172</v>
      </c>
      <c r="Y190" s="195">
        <f t="shared" si="387"/>
        <v>260395.71822904187</v>
      </c>
      <c r="Z190" s="184">
        <f t="shared" si="388"/>
        <v>-20411.799044209911</v>
      </c>
      <c r="AA190" s="184">
        <f t="shared" si="389"/>
        <v>-20209.144032055916</v>
      </c>
      <c r="AB190" s="184">
        <f t="shared" si="390"/>
        <v>-20200.186899663193</v>
      </c>
      <c r="AC190" s="101"/>
      <c r="AD190" s="184">
        <f t="shared" si="391"/>
        <v>-2692881.5961797079</v>
      </c>
      <c r="AE190" s="184">
        <f t="shared" si="385"/>
        <v>-379508.26817595994</v>
      </c>
      <c r="AF190" s="184">
        <f t="shared" si="385"/>
        <v>-307412.27887681912</v>
      </c>
      <c r="AG190" s="184">
        <f t="shared" si="385"/>
        <v>-303291.49860288983</v>
      </c>
    </row>
    <row r="191" spans="13:33" x14ac:dyDescent="0.3">
      <c r="M191" s="111"/>
      <c r="N191" s="8"/>
      <c r="O191" s="196">
        <f t="shared" si="434"/>
        <v>486821.6955628873</v>
      </c>
      <c r="P191" s="197">
        <f t="shared" si="434"/>
        <v>5471.4598597320246</v>
      </c>
      <c r="Q191" s="197">
        <f t="shared" si="434"/>
        <v>321.54572681007329</v>
      </c>
      <c r="R191" s="197">
        <f t="shared" si="434"/>
        <v>21.788225705483764</v>
      </c>
      <c r="T191" s="196">
        <f t="shared" si="406"/>
        <v>381043.18436726229</v>
      </c>
      <c r="U191" s="197">
        <f t="shared" si="403"/>
        <v>-9464.9392543929753</v>
      </c>
      <c r="V191" s="197">
        <f t="shared" si="404"/>
        <v>-12097.317902808678</v>
      </c>
      <c r="W191" s="197">
        <f t="shared" si="405"/>
        <v>-12253.089027881397</v>
      </c>
      <c r="Y191" s="196">
        <f t="shared" si="387"/>
        <v>275873.31596226234</v>
      </c>
      <c r="Z191" s="197">
        <f t="shared" si="388"/>
        <v>-20178.287935392975</v>
      </c>
      <c r="AA191" s="197">
        <f t="shared" si="389"/>
        <v>-20192.963904958728</v>
      </c>
      <c r="AB191" s="197">
        <f t="shared" si="390"/>
        <v>-20199.019753096418</v>
      </c>
      <c r="AC191" s="101"/>
      <c r="AD191" s="197">
        <f t="shared" si="391"/>
        <v>-2677403.9984464874</v>
      </c>
      <c r="AE191" s="197">
        <f t="shared" si="385"/>
        <v>-379274.75706714299</v>
      </c>
      <c r="AF191" s="197">
        <f t="shared" si="385"/>
        <v>-307396.09874972195</v>
      </c>
      <c r="AG191" s="197">
        <f t="shared" si="385"/>
        <v>-303290.33145632304</v>
      </c>
    </row>
    <row r="192" spans="13:33" s="217" customFormat="1" x14ac:dyDescent="0.3">
      <c r="M192" s="237"/>
      <c r="N192" s="207"/>
      <c r="O192" s="183">
        <f>O124*(O133+O137)</f>
        <v>29956.098707379209</v>
      </c>
      <c r="P192" s="184">
        <f t="shared" ref="P192:R192" si="435">P124*(P133+P137)</f>
        <v>320.95233739741076</v>
      </c>
      <c r="Q192" s="184">
        <f t="shared" si="435"/>
        <v>18.141846757090626</v>
      </c>
      <c r="R192" s="184">
        <f t="shared" si="435"/>
        <v>1.2102701871117878</v>
      </c>
      <c r="T192" s="184">
        <f t="shared" ref="T192" si="436">O192-T$147</f>
        <v>-75822.412488245798</v>
      </c>
      <c r="U192" s="184">
        <f t="shared" ref="U192" si="437">P192-U$147</f>
        <v>-14615.446776727589</v>
      </c>
      <c r="V192" s="184">
        <f t="shared" ref="V192" si="438">Q192-V$147</f>
        <v>-12400.721782861659</v>
      </c>
      <c r="W192" s="184">
        <f t="shared" ref="W192" si="439">R192-W$147</f>
        <v>-12273.666983399769</v>
      </c>
      <c r="Y192" s="184">
        <f t="shared" ref="Y192" si="440">O192-Y$175</f>
        <v>-180992.28089324577</v>
      </c>
      <c r="Z192" s="184">
        <f t="shared" ref="Z192" si="441">P192-Z$175</f>
        <v>-25328.795457727589</v>
      </c>
      <c r="AA192" s="184">
        <f t="shared" ref="AA192" si="442">Q192-AA$175</f>
        <v>-20496.367785011709</v>
      </c>
      <c r="AB192" s="184">
        <f t="shared" ref="AB192" si="443">R192-AB$175</f>
        <v>-20219.59770861479</v>
      </c>
      <c r="AC192" s="101"/>
      <c r="AD192" s="184">
        <f t="shared" ref="AD192" si="444">O192-AD$175</f>
        <v>-3134269.5953019955</v>
      </c>
      <c r="AE192" s="184">
        <f t="shared" ref="AE192" si="445">P192-AE$175</f>
        <v>-384425.26458947756</v>
      </c>
      <c r="AF192" s="184">
        <f t="shared" ref="AF192" si="446">Q192-AF$175</f>
        <v>-307699.50262977491</v>
      </c>
      <c r="AG192" s="184">
        <f t="shared" ref="AG192" si="447">R192-AG$175</f>
        <v>-303310.90941184142</v>
      </c>
    </row>
    <row r="193" spans="13:33" ht="28.8" x14ac:dyDescent="0.3">
      <c r="M193" s="210" t="s">
        <v>898</v>
      </c>
      <c r="N193" s="168"/>
      <c r="O193" s="183">
        <f t="shared" ref="O193:R195" si="448">O125*(O134+O138)</f>
        <v>32521.642820558063</v>
      </c>
      <c r="P193" s="184">
        <f t="shared" si="448"/>
        <v>355.93625073425409</v>
      </c>
      <c r="Q193" s="184">
        <f t="shared" si="448"/>
        <v>20.49114253222573</v>
      </c>
      <c r="R193" s="184">
        <f t="shared" si="448"/>
        <v>1.3768873454371202</v>
      </c>
      <c r="T193" s="184">
        <f t="shared" si="406"/>
        <v>-73256.868375066944</v>
      </c>
      <c r="U193" s="184">
        <f t="shared" si="403"/>
        <v>-14580.462863390747</v>
      </c>
      <c r="V193" s="184">
        <f t="shared" si="404"/>
        <v>-12398.372487086524</v>
      </c>
      <c r="W193" s="184">
        <f t="shared" si="405"/>
        <v>-12273.500366241444</v>
      </c>
      <c r="Y193" s="184">
        <f t="shared" si="387"/>
        <v>-178426.73678006692</v>
      </c>
      <c r="Z193" s="184">
        <f t="shared" si="388"/>
        <v>-25293.811544390745</v>
      </c>
      <c r="AA193" s="184">
        <f t="shared" si="389"/>
        <v>-20494.018489236576</v>
      </c>
      <c r="AB193" s="184">
        <f t="shared" si="390"/>
        <v>-20219.431091456467</v>
      </c>
      <c r="AC193" s="101"/>
      <c r="AD193" s="184">
        <f t="shared" si="391"/>
        <v>-3131704.0511888168</v>
      </c>
      <c r="AE193" s="184">
        <f t="shared" si="385"/>
        <v>-384390.28067614074</v>
      </c>
      <c r="AF193" s="184">
        <f t="shared" si="385"/>
        <v>-307697.1533339998</v>
      </c>
      <c r="AG193" s="184">
        <f t="shared" si="385"/>
        <v>-303310.74279468309</v>
      </c>
    </row>
    <row r="194" spans="13:33" x14ac:dyDescent="0.3">
      <c r="M194" s="210"/>
      <c r="N194" s="168"/>
      <c r="O194" s="183">
        <f t="shared" si="448"/>
        <v>34336.325007459178</v>
      </c>
      <c r="P194" s="184">
        <f t="shared" si="448"/>
        <v>381.57242556335092</v>
      </c>
      <c r="Q194" s="184">
        <f t="shared" si="448"/>
        <v>22.245176138024608</v>
      </c>
      <c r="R194" s="184">
        <f t="shared" si="448"/>
        <v>1.502197818051678</v>
      </c>
      <c r="T194" s="184">
        <f t="shared" si="406"/>
        <v>-71442.186188165826</v>
      </c>
      <c r="U194" s="184">
        <f t="shared" si="403"/>
        <v>-14554.82668856165</v>
      </c>
      <c r="V194" s="184">
        <f t="shared" si="404"/>
        <v>-12396.618453480725</v>
      </c>
      <c r="W194" s="184">
        <f t="shared" si="405"/>
        <v>-12273.375055768829</v>
      </c>
      <c r="Y194" s="184">
        <f t="shared" si="387"/>
        <v>-176612.05459316581</v>
      </c>
      <c r="Z194" s="184">
        <f t="shared" si="388"/>
        <v>-25268.17536956165</v>
      </c>
      <c r="AA194" s="184">
        <f t="shared" si="389"/>
        <v>-20492.264455630775</v>
      </c>
      <c r="AB194" s="184">
        <f t="shared" si="390"/>
        <v>-20219.30578098385</v>
      </c>
      <c r="AC194" s="101"/>
      <c r="AD194" s="184">
        <f t="shared" si="391"/>
        <v>-3129889.3690019157</v>
      </c>
      <c r="AE194" s="184">
        <f t="shared" si="385"/>
        <v>-384364.64450131165</v>
      </c>
      <c r="AF194" s="184">
        <f t="shared" si="385"/>
        <v>-307695.399300394</v>
      </c>
      <c r="AG194" s="184">
        <f t="shared" si="385"/>
        <v>-303310.61748421047</v>
      </c>
    </row>
    <row r="195" spans="13:33" x14ac:dyDescent="0.3">
      <c r="M195" s="111"/>
      <c r="N195" s="8"/>
      <c r="O195" s="193">
        <f t="shared" si="448"/>
        <v>35463.832127097747</v>
      </c>
      <c r="P195" s="197">
        <f t="shared" si="448"/>
        <v>398.58316858975007</v>
      </c>
      <c r="Q195" s="197">
        <f t="shared" si="448"/>
        <v>23.423860893449046</v>
      </c>
      <c r="R195" s="197">
        <f t="shared" si="448"/>
        <v>1.587221740134579</v>
      </c>
      <c r="T195" s="197">
        <f t="shared" si="406"/>
        <v>-70314.679068527257</v>
      </c>
      <c r="U195" s="197">
        <f t="shared" si="403"/>
        <v>-14537.815945535251</v>
      </c>
      <c r="V195" s="197">
        <f t="shared" si="404"/>
        <v>-12395.439768725302</v>
      </c>
      <c r="W195" s="197">
        <f t="shared" si="405"/>
        <v>-12273.290031846747</v>
      </c>
      <c r="Y195" s="197">
        <f t="shared" si="387"/>
        <v>-175484.54747352726</v>
      </c>
      <c r="Z195" s="197">
        <f t="shared" si="388"/>
        <v>-25251.16462653525</v>
      </c>
      <c r="AA195" s="197">
        <f t="shared" si="389"/>
        <v>-20491.08577087535</v>
      </c>
      <c r="AB195" s="197">
        <f t="shared" si="390"/>
        <v>-20219.220757061768</v>
      </c>
      <c r="AC195" s="101"/>
      <c r="AD195" s="197">
        <f t="shared" si="391"/>
        <v>-3128761.8618822773</v>
      </c>
      <c r="AE195" s="197">
        <f t="shared" si="385"/>
        <v>-384347.63375828526</v>
      </c>
      <c r="AF195" s="197">
        <f t="shared" si="385"/>
        <v>-307694.22061563854</v>
      </c>
      <c r="AG195" s="197">
        <f t="shared" si="385"/>
        <v>-303310.53246028838</v>
      </c>
    </row>
    <row r="196" spans="13:33" s="217" customFormat="1" x14ac:dyDescent="0.3">
      <c r="M196" s="237"/>
      <c r="N196" s="207"/>
      <c r="O196" s="184">
        <f>O128*(O133+O137)</f>
        <v>4084.9225510062565</v>
      </c>
      <c r="P196" s="184">
        <f t="shared" ref="P196:R196" si="449">P128*(P133+P137)</f>
        <v>43.766227826919646</v>
      </c>
      <c r="Q196" s="184">
        <f t="shared" si="449"/>
        <v>2.4738881941487216</v>
      </c>
      <c r="R196" s="184">
        <f t="shared" si="449"/>
        <v>0.16503684369706201</v>
      </c>
      <c r="T196" s="184">
        <f t="shared" ref="T196" si="450">O196-T$147</f>
        <v>-101693.58864461875</v>
      </c>
      <c r="U196" s="184">
        <f t="shared" ref="U196" si="451">P196-U$147</f>
        <v>-14892.632886298081</v>
      </c>
      <c r="V196" s="184">
        <f t="shared" ref="V196" si="452">Q196-V$147</f>
        <v>-12416.389741424602</v>
      </c>
      <c r="W196" s="184">
        <f t="shared" ref="W196" si="453">R196-W$147</f>
        <v>-12274.712216743184</v>
      </c>
      <c r="Y196" s="184">
        <f t="shared" ref="Y196" si="454">O196-Y$175</f>
        <v>-206863.45704961874</v>
      </c>
      <c r="Z196" s="184">
        <f t="shared" ref="Z196" si="455">P196-Z$175</f>
        <v>-25605.98156729808</v>
      </c>
      <c r="AA196" s="184">
        <f t="shared" ref="AA196" si="456">Q196-AA$175</f>
        <v>-20512.035743574652</v>
      </c>
      <c r="AB196" s="184">
        <f t="shared" ref="AB196" si="457">R196-AB$175</f>
        <v>-20220.642941958205</v>
      </c>
      <c r="AC196" s="101"/>
      <c r="AD196" s="184">
        <f t="shared" ref="AD196" si="458">O196-AD$175</f>
        <v>-3160140.7714583687</v>
      </c>
      <c r="AE196" s="184">
        <f t="shared" ref="AE196" si="459">P196-AE$175</f>
        <v>-384702.45069904806</v>
      </c>
      <c r="AF196" s="184">
        <f t="shared" ref="AF196" si="460">Q196-AF$175</f>
        <v>-307715.17058833787</v>
      </c>
      <c r="AG196" s="184">
        <f t="shared" ref="AG196" si="461">R196-AG$175</f>
        <v>-303311.95464518486</v>
      </c>
    </row>
    <row r="197" spans="13:33" x14ac:dyDescent="0.3">
      <c r="M197" s="210" t="s">
        <v>825</v>
      </c>
      <c r="N197" s="168"/>
      <c r="O197" s="184">
        <f t="shared" ref="O197:R199" si="462">O129*(O134+O138)</f>
        <v>4434.7694755306456</v>
      </c>
      <c r="P197" s="184">
        <f t="shared" si="462"/>
        <v>48.536761463761927</v>
      </c>
      <c r="Q197" s="184">
        <f t="shared" si="462"/>
        <v>2.7942467089398728</v>
      </c>
      <c r="R197" s="184">
        <f t="shared" si="462"/>
        <v>0.18775736528688006</v>
      </c>
      <c r="T197" s="184">
        <f t="shared" si="406"/>
        <v>-101343.74172009436</v>
      </c>
      <c r="U197" s="184">
        <f t="shared" si="403"/>
        <v>-14887.862352661239</v>
      </c>
      <c r="V197" s="184">
        <f t="shared" si="404"/>
        <v>-12416.069382909811</v>
      </c>
      <c r="W197" s="184">
        <f t="shared" si="405"/>
        <v>-12274.689496221594</v>
      </c>
      <c r="Y197" s="184">
        <f t="shared" si="387"/>
        <v>-206513.61012509433</v>
      </c>
      <c r="Z197" s="184">
        <f t="shared" si="388"/>
        <v>-25601.211033661239</v>
      </c>
      <c r="AA197" s="184">
        <f t="shared" si="389"/>
        <v>-20511.715385059859</v>
      </c>
      <c r="AB197" s="184">
        <f t="shared" si="390"/>
        <v>-20220.620221436617</v>
      </c>
      <c r="AC197" s="101"/>
      <c r="AD197" s="184">
        <f t="shared" si="391"/>
        <v>-3159790.924533844</v>
      </c>
      <c r="AE197" s="184">
        <f t="shared" si="385"/>
        <v>-384697.68016541126</v>
      </c>
      <c r="AF197" s="184">
        <f t="shared" si="385"/>
        <v>-307714.85022982309</v>
      </c>
      <c r="AG197" s="184">
        <f t="shared" si="385"/>
        <v>-303311.93192466325</v>
      </c>
    </row>
    <row r="198" spans="13:33" x14ac:dyDescent="0.3">
      <c r="M198" s="209" t="s">
        <v>900</v>
      </c>
      <c r="N198" s="168"/>
      <c r="O198" s="184">
        <f t="shared" si="462"/>
        <v>4682.2261373807969</v>
      </c>
      <c r="P198" s="184">
        <f t="shared" si="462"/>
        <v>52.032603485911494</v>
      </c>
      <c r="Q198" s="184">
        <f t="shared" si="462"/>
        <v>3.0334331097306282</v>
      </c>
      <c r="R198" s="184">
        <f t="shared" si="462"/>
        <v>0.20484515700704706</v>
      </c>
      <c r="T198" s="184">
        <f t="shared" si="406"/>
        <v>-101096.2850582442</v>
      </c>
      <c r="U198" s="184">
        <f t="shared" si="403"/>
        <v>-14884.366510639089</v>
      </c>
      <c r="V198" s="184">
        <f t="shared" si="404"/>
        <v>-12415.83019650902</v>
      </c>
      <c r="W198" s="184">
        <f t="shared" si="405"/>
        <v>-12274.672408429875</v>
      </c>
      <c r="Y198" s="184">
        <f t="shared" si="387"/>
        <v>-206266.15346324421</v>
      </c>
      <c r="Z198" s="184">
        <f t="shared" si="388"/>
        <v>-25597.71519163909</v>
      </c>
      <c r="AA198" s="184">
        <f t="shared" si="389"/>
        <v>-20511.476198659071</v>
      </c>
      <c r="AB198" s="184">
        <f t="shared" si="390"/>
        <v>-20220.603133644894</v>
      </c>
      <c r="AC198" s="101"/>
      <c r="AD198" s="184">
        <f t="shared" si="391"/>
        <v>-3159543.4678719942</v>
      </c>
      <c r="AE198" s="184">
        <f t="shared" ref="AE198:AE199" si="463">P198-AE$175</f>
        <v>-384694.18432338908</v>
      </c>
      <c r="AF198" s="184">
        <f t="shared" ref="AF198:AF199" si="464">Q198-AF$175</f>
        <v>-307714.61104342225</v>
      </c>
      <c r="AG198" s="184">
        <f t="shared" ref="AG198:AG199" si="465">R198-AG$175</f>
        <v>-303311.91483687155</v>
      </c>
    </row>
    <row r="199" spans="13:33" x14ac:dyDescent="0.3">
      <c r="M199" s="8"/>
      <c r="N199" s="8"/>
      <c r="O199" s="197">
        <f t="shared" si="462"/>
        <v>4835.9771082406023</v>
      </c>
      <c r="P199" s="197">
        <f t="shared" si="462"/>
        <v>54.352250262238655</v>
      </c>
      <c r="Q199" s="197">
        <f t="shared" si="462"/>
        <v>3.1941628491066885</v>
      </c>
      <c r="R199" s="197">
        <f t="shared" si="462"/>
        <v>0.21643932820016987</v>
      </c>
      <c r="T199" s="184">
        <f t="shared" si="406"/>
        <v>-100942.5340873844</v>
      </c>
      <c r="U199" s="184">
        <f t="shared" si="403"/>
        <v>-14882.046863862763</v>
      </c>
      <c r="V199" s="184">
        <f t="shared" si="404"/>
        <v>-12415.669466769645</v>
      </c>
      <c r="W199" s="184">
        <f t="shared" si="405"/>
        <v>-12274.660814258681</v>
      </c>
      <c r="Y199" s="184">
        <f t="shared" si="387"/>
        <v>-206112.4024923844</v>
      </c>
      <c r="Z199" s="184">
        <f t="shared" si="388"/>
        <v>-25595.39554486276</v>
      </c>
      <c r="AA199" s="184">
        <f t="shared" si="389"/>
        <v>-20511.315468919693</v>
      </c>
      <c r="AB199" s="184">
        <f t="shared" si="390"/>
        <v>-20220.591539473702</v>
      </c>
      <c r="AC199" s="101"/>
      <c r="AD199" s="184">
        <f t="shared" si="391"/>
        <v>-3159389.7169011342</v>
      </c>
      <c r="AE199" s="184">
        <f t="shared" si="463"/>
        <v>-384691.86467661278</v>
      </c>
      <c r="AF199" s="184">
        <f t="shared" si="464"/>
        <v>-307714.4503136829</v>
      </c>
      <c r="AG199" s="184">
        <f t="shared" si="465"/>
        <v>-303311.90324270033</v>
      </c>
    </row>
    <row r="200" spans="13:33" x14ac:dyDescent="0.3">
      <c r="O200" s="198"/>
    </row>
    <row r="201" spans="13:33" x14ac:dyDescent="0.3">
      <c r="O201" s="198"/>
    </row>
    <row r="202" spans="13:33" x14ac:dyDescent="0.3">
      <c r="M202" s="168"/>
      <c r="N202" s="1" t="s">
        <v>858</v>
      </c>
      <c r="O202" s="168"/>
      <c r="P202" s="168"/>
      <c r="Q202" s="168"/>
      <c r="R202" s="168"/>
      <c r="T202" s="178" t="s">
        <v>944</v>
      </c>
      <c r="U202" s="168"/>
      <c r="V202" s="168"/>
      <c r="W202" s="168"/>
      <c r="Y202" s="178" t="s">
        <v>943</v>
      </c>
      <c r="Z202" s="178"/>
      <c r="AA202" s="178"/>
      <c r="AB202" s="178"/>
      <c r="AC202" s="178"/>
      <c r="AD202" s="213" t="s">
        <v>945</v>
      </c>
      <c r="AE202" s="178"/>
      <c r="AF202" s="178"/>
      <c r="AG202" s="178"/>
    </row>
    <row r="203" spans="13:33" x14ac:dyDescent="0.3">
      <c r="M203" s="176" t="s">
        <v>821</v>
      </c>
      <c r="N203" s="8"/>
      <c r="O203" s="188" t="s">
        <v>826</v>
      </c>
      <c r="P203" s="188" t="s">
        <v>827</v>
      </c>
      <c r="Q203" s="188" t="s">
        <v>828</v>
      </c>
      <c r="R203" s="188" t="s">
        <v>829</v>
      </c>
      <c r="T203" s="170">
        <v>105778.511195625</v>
      </c>
      <c r="U203" s="170">
        <v>14936.399114125001</v>
      </c>
      <c r="V203" s="170">
        <v>12418.863629618751</v>
      </c>
      <c r="W203" s="170">
        <v>12274.877253586881</v>
      </c>
      <c r="X203" s="8"/>
      <c r="Y203" s="170">
        <v>210948.37960062499</v>
      </c>
      <c r="Z203" s="170">
        <v>25649.747795125</v>
      </c>
      <c r="AA203" s="170">
        <v>20514.5096317688</v>
      </c>
      <c r="AB203" s="170">
        <v>20220.807978801902</v>
      </c>
      <c r="AC203" s="8"/>
      <c r="AD203" s="170">
        <f>Y203*15</f>
        <v>3164225.6940093748</v>
      </c>
      <c r="AE203" s="170">
        <f>Z203*15</f>
        <v>384746.216926875</v>
      </c>
      <c r="AF203" s="170">
        <f>AA203*15</f>
        <v>307717.644476532</v>
      </c>
      <c r="AG203" s="170">
        <f>AB203*15</f>
        <v>303312.11968202854</v>
      </c>
    </row>
    <row r="204" spans="13:33" s="217" customFormat="1" x14ac:dyDescent="0.3">
      <c r="M204" s="225"/>
      <c r="N204" s="207"/>
      <c r="O204" s="182">
        <f>O74*O133</f>
        <v>1327271740.1266687</v>
      </c>
      <c r="P204" s="182">
        <f t="shared" ref="P204:R204" si="466">P74*P133</f>
        <v>12962041.997973219</v>
      </c>
      <c r="Q204" s="195">
        <f t="shared" si="466"/>
        <v>710872.73226207378</v>
      </c>
      <c r="R204" s="183">
        <f t="shared" si="466"/>
        <v>43868.355721104002</v>
      </c>
      <c r="T204" s="182">
        <f>O204-T$147</f>
        <v>1327165961.615473</v>
      </c>
      <c r="U204" s="182">
        <f t="shared" ref="U204" si="467">P204-U$147</f>
        <v>12947105.598859094</v>
      </c>
      <c r="V204" s="195">
        <f t="shared" ref="V204" si="468">Q204-V$147</f>
        <v>698453.86863245501</v>
      </c>
      <c r="W204" s="183">
        <f t="shared" ref="W204" si="469">R204-W$147</f>
        <v>31593.478467517121</v>
      </c>
      <c r="X204" s="207"/>
      <c r="Y204" s="182">
        <f>O204-Y$203</f>
        <v>1327060791.7470682</v>
      </c>
      <c r="Z204" s="182">
        <f t="shared" ref="Z204" si="470">P204-Z$203</f>
        <v>12936392.250178093</v>
      </c>
      <c r="AA204" s="195">
        <f t="shared" ref="AA204" si="471">Q204-AA$203</f>
        <v>690358.22263030498</v>
      </c>
      <c r="AB204" s="183">
        <f t="shared" ref="AB204" si="472">R204-AB$203</f>
        <v>23647.5477423021</v>
      </c>
      <c r="AC204" s="207"/>
      <c r="AD204" s="182">
        <f>O204-AD$203</f>
        <v>1324107514.4326594</v>
      </c>
      <c r="AE204" s="182">
        <f t="shared" ref="AE204" si="473">P204-AE$203</f>
        <v>12577295.781046344</v>
      </c>
      <c r="AF204" s="195">
        <f t="shared" ref="AF204" si="474">Q204-AF$203</f>
        <v>403155.08778554178</v>
      </c>
      <c r="AG204" s="184">
        <f t="shared" ref="AG204" si="475">R204-AG$203</f>
        <v>-259443.76396092452</v>
      </c>
    </row>
    <row r="205" spans="13:33" x14ac:dyDescent="0.3">
      <c r="M205" s="210" t="s">
        <v>824</v>
      </c>
      <c r="O205" s="182">
        <f t="shared" ref="O205:R207" si="476">O75*O134</f>
        <v>1441299927.0735481</v>
      </c>
      <c r="P205" s="182">
        <f t="shared" si="476"/>
        <v>14405442.651520642</v>
      </c>
      <c r="Q205" s="195">
        <f t="shared" si="476"/>
        <v>803123.10540662415</v>
      </c>
      <c r="R205" s="183">
        <f t="shared" si="476"/>
        <v>49935.909796960004</v>
      </c>
      <c r="T205" s="182">
        <f>O205-T$147</f>
        <v>1441194148.5623524</v>
      </c>
      <c r="U205" s="182">
        <f t="shared" ref="U205:W225" si="477">P205-U$147</f>
        <v>14390506.252406517</v>
      </c>
      <c r="V205" s="195">
        <f t="shared" si="477"/>
        <v>790704.24177700537</v>
      </c>
      <c r="W205" s="183">
        <f t="shared" si="477"/>
        <v>37661.03254337312</v>
      </c>
      <c r="Y205" s="182">
        <f>O205-Y$203</f>
        <v>1441088978.6939476</v>
      </c>
      <c r="Z205" s="182">
        <f t="shared" ref="Z205:AB205" si="478">P205-Z$203</f>
        <v>14379792.903725516</v>
      </c>
      <c r="AA205" s="195">
        <f t="shared" si="478"/>
        <v>782608.59577485535</v>
      </c>
      <c r="AB205" s="183">
        <f t="shared" si="478"/>
        <v>29715.101818158102</v>
      </c>
      <c r="AC205" s="101"/>
      <c r="AD205" s="182">
        <f>O205-AD$203</f>
        <v>1438135701.3795388</v>
      </c>
      <c r="AE205" s="182">
        <f t="shared" ref="AE205:AG225" si="479">P205-AE$203</f>
        <v>14020696.434593767</v>
      </c>
      <c r="AF205" s="195">
        <f t="shared" si="479"/>
        <v>495405.46093009214</v>
      </c>
      <c r="AG205" s="184">
        <f t="shared" si="479"/>
        <v>-253376.20988506853</v>
      </c>
    </row>
    <row r="206" spans="13:33" x14ac:dyDescent="0.3">
      <c r="M206" s="210" t="s">
        <v>899</v>
      </c>
      <c r="O206" s="182">
        <f t="shared" si="476"/>
        <v>1522145063.8283637</v>
      </c>
      <c r="P206" s="182">
        <f t="shared" si="476"/>
        <v>15473616.028385697</v>
      </c>
      <c r="Q206" s="195">
        <f t="shared" si="476"/>
        <v>872037.47607577941</v>
      </c>
      <c r="R206" s="183">
        <f t="shared" si="476"/>
        <v>54500.956519000007</v>
      </c>
      <c r="T206" s="182">
        <f t="shared" ref="T206:T227" si="480">O206-T$147</f>
        <v>1522039285.317168</v>
      </c>
      <c r="U206" s="182">
        <f t="shared" si="477"/>
        <v>15458679.629271572</v>
      </c>
      <c r="V206" s="195">
        <f t="shared" si="477"/>
        <v>859618.61244616064</v>
      </c>
      <c r="W206" s="183">
        <f t="shared" si="477"/>
        <v>42226.079265413122</v>
      </c>
      <c r="Y206" s="182">
        <f t="shared" ref="Y206:Y227" si="481">O206-Y$203</f>
        <v>1521934115.4487631</v>
      </c>
      <c r="Z206" s="182">
        <f t="shared" ref="Z206:Z227" si="482">P206-Z$203</f>
        <v>15447966.280590571</v>
      </c>
      <c r="AA206" s="195">
        <f t="shared" ref="AA206:AA227" si="483">Q206-AA$203</f>
        <v>851522.96644401061</v>
      </c>
      <c r="AB206" s="183">
        <f t="shared" ref="AB206:AB227" si="484">R206-AB$203</f>
        <v>34280.148540198104</v>
      </c>
      <c r="AC206" s="101"/>
      <c r="AD206" s="182">
        <f t="shared" ref="AD206:AD227" si="485">O206-AD$203</f>
        <v>1518980838.1343544</v>
      </c>
      <c r="AE206" s="182">
        <f t="shared" si="479"/>
        <v>15088869.811458822</v>
      </c>
      <c r="AF206" s="195">
        <f t="shared" si="479"/>
        <v>564319.83159924741</v>
      </c>
      <c r="AG206" s="184">
        <f t="shared" si="479"/>
        <v>-248811.16316302854</v>
      </c>
    </row>
    <row r="207" spans="13:33" x14ac:dyDescent="0.3">
      <c r="M207" s="111"/>
      <c r="N207" s="8"/>
      <c r="O207" s="194">
        <f t="shared" si="476"/>
        <v>1572664529.1905062</v>
      </c>
      <c r="P207" s="194">
        <f t="shared" si="476"/>
        <v>16195747.42847608</v>
      </c>
      <c r="Q207" s="196">
        <f t="shared" si="476"/>
        <v>918402.43460909917</v>
      </c>
      <c r="R207" s="193">
        <f t="shared" si="476"/>
        <v>57603.950663488089</v>
      </c>
      <c r="T207" s="194">
        <f t="shared" si="480"/>
        <v>1572558750.6793106</v>
      </c>
      <c r="U207" s="194">
        <f t="shared" si="477"/>
        <v>16180811.029361956</v>
      </c>
      <c r="V207" s="196">
        <f t="shared" si="477"/>
        <v>905983.5709794804</v>
      </c>
      <c r="W207" s="193">
        <f t="shared" si="477"/>
        <v>45329.073409901204</v>
      </c>
      <c r="Y207" s="194">
        <f t="shared" si="481"/>
        <v>1572453580.8109057</v>
      </c>
      <c r="Z207" s="194">
        <f t="shared" si="482"/>
        <v>16170097.680680955</v>
      </c>
      <c r="AA207" s="196">
        <f t="shared" si="483"/>
        <v>897887.92497733037</v>
      </c>
      <c r="AB207" s="193">
        <f t="shared" si="484"/>
        <v>37383.142684686187</v>
      </c>
      <c r="AC207" s="101"/>
      <c r="AD207" s="194">
        <f t="shared" si="485"/>
        <v>1569500303.4964969</v>
      </c>
      <c r="AE207" s="194">
        <f t="shared" si="479"/>
        <v>15811001.211549206</v>
      </c>
      <c r="AF207" s="196">
        <f t="shared" si="479"/>
        <v>610684.79013256717</v>
      </c>
      <c r="AG207" s="197">
        <f t="shared" si="479"/>
        <v>-245708.16901854044</v>
      </c>
    </row>
    <row r="208" spans="13:33" s="217" customFormat="1" x14ac:dyDescent="0.3">
      <c r="M208" s="237"/>
      <c r="N208" s="207"/>
      <c r="O208" s="182">
        <f>O78*O133</f>
        <v>612153653.80730116</v>
      </c>
      <c r="P208" s="182">
        <f t="shared" ref="P208:R208" si="486">P78*P133</f>
        <v>5978249.3139692247</v>
      </c>
      <c r="Q208" s="195">
        <f t="shared" si="486"/>
        <v>327863.0345920556</v>
      </c>
      <c r="R208" s="183">
        <f t="shared" si="486"/>
        <v>20232.612078841819</v>
      </c>
      <c r="T208" s="182">
        <f t="shared" ref="T208" si="487">O208-T$147</f>
        <v>612047875.2961055</v>
      </c>
      <c r="U208" s="182">
        <f t="shared" ref="U208" si="488">P208-U$147</f>
        <v>5963312.9148550993</v>
      </c>
      <c r="V208" s="195">
        <f t="shared" ref="V208" si="489">Q208-V$147</f>
        <v>315444.17096243682</v>
      </c>
      <c r="W208" s="183">
        <f t="shared" ref="W208" si="490">R208-W$147</f>
        <v>7957.7348252549382</v>
      </c>
      <c r="Y208" s="182">
        <f t="shared" ref="Y208" si="491">O208-Y$203</f>
        <v>611942705.42770052</v>
      </c>
      <c r="Z208" s="182">
        <f t="shared" ref="Z208" si="492">P208-Z$203</f>
        <v>5952599.5661741002</v>
      </c>
      <c r="AA208" s="195">
        <f t="shared" ref="AA208" si="493">Q208-AA$203</f>
        <v>307348.5249602868</v>
      </c>
      <c r="AB208" s="184">
        <f t="shared" ref="AB208" si="494">R208-AB$203</f>
        <v>11.804100039917103</v>
      </c>
      <c r="AC208" s="101"/>
      <c r="AD208" s="182">
        <f t="shared" ref="AD208" si="495">O208-AD$203</f>
        <v>608989428.11329174</v>
      </c>
      <c r="AE208" s="182">
        <f t="shared" ref="AE208" si="496">P208-AE$203</f>
        <v>5593503.0970423501</v>
      </c>
      <c r="AF208" s="195">
        <f t="shared" ref="AF208" si="497">Q208-AF$203</f>
        <v>20145.390115523594</v>
      </c>
      <c r="AG208" s="184">
        <f t="shared" ref="AG208" si="498">R208-AG$203</f>
        <v>-283079.50760318671</v>
      </c>
    </row>
    <row r="209" spans="13:33" ht="28.8" x14ac:dyDescent="0.3">
      <c r="M209" s="210" t="s">
        <v>901</v>
      </c>
      <c r="O209" s="182">
        <f t="shared" ref="O209:R211" si="499">O79*O134</f>
        <v>664744821.96544528</v>
      </c>
      <c r="P209" s="182">
        <f t="shared" si="499"/>
        <v>6643963.0161931384</v>
      </c>
      <c r="Q209" s="195">
        <f t="shared" si="499"/>
        <v>370410.0136908</v>
      </c>
      <c r="R209" s="183">
        <f t="shared" si="499"/>
        <v>23031.04082927552</v>
      </c>
      <c r="T209" s="182">
        <f t="shared" si="480"/>
        <v>664639043.45424962</v>
      </c>
      <c r="U209" s="182">
        <f t="shared" si="477"/>
        <v>6629026.617079013</v>
      </c>
      <c r="V209" s="195">
        <f t="shared" si="477"/>
        <v>357991.15006118122</v>
      </c>
      <c r="W209" s="183">
        <f t="shared" si="477"/>
        <v>10756.163575688639</v>
      </c>
      <c r="Y209" s="182">
        <f t="shared" si="481"/>
        <v>664533873.58584464</v>
      </c>
      <c r="Z209" s="182">
        <f t="shared" si="482"/>
        <v>6618313.2683980139</v>
      </c>
      <c r="AA209" s="195">
        <f t="shared" si="483"/>
        <v>349895.5040590312</v>
      </c>
      <c r="AB209" s="184">
        <f t="shared" si="484"/>
        <v>2810.2328504736179</v>
      </c>
      <c r="AC209" s="101"/>
      <c r="AD209" s="182">
        <f t="shared" si="485"/>
        <v>661580596.27143586</v>
      </c>
      <c r="AE209" s="182">
        <f t="shared" si="479"/>
        <v>6259216.7992662638</v>
      </c>
      <c r="AF209" s="195">
        <f t="shared" si="479"/>
        <v>62692.369214267994</v>
      </c>
      <c r="AG209" s="184">
        <f t="shared" si="479"/>
        <v>-280281.07885275304</v>
      </c>
    </row>
    <row r="210" spans="13:33" x14ac:dyDescent="0.3">
      <c r="M210" s="210"/>
      <c r="O210" s="182">
        <f t="shared" si="499"/>
        <v>702031569.17840731</v>
      </c>
      <c r="P210" s="182">
        <f t="shared" si="499"/>
        <v>7136617.395683825</v>
      </c>
      <c r="Q210" s="195">
        <f t="shared" si="499"/>
        <v>402194.14841586235</v>
      </c>
      <c r="R210" s="183">
        <f t="shared" si="499"/>
        <v>25136.495158041027</v>
      </c>
      <c r="T210" s="182">
        <f t="shared" si="480"/>
        <v>701925790.66721165</v>
      </c>
      <c r="U210" s="182">
        <f t="shared" si="477"/>
        <v>7121680.9965696996</v>
      </c>
      <c r="V210" s="195">
        <f t="shared" si="477"/>
        <v>389775.28478624357</v>
      </c>
      <c r="W210" s="183">
        <f t="shared" si="477"/>
        <v>12861.617904454146</v>
      </c>
      <c r="Y210" s="182">
        <f t="shared" si="481"/>
        <v>701820620.79880667</v>
      </c>
      <c r="Z210" s="182">
        <f t="shared" si="482"/>
        <v>7110967.6478887005</v>
      </c>
      <c r="AA210" s="195">
        <f t="shared" si="483"/>
        <v>381679.63878409355</v>
      </c>
      <c r="AB210" s="184">
        <f t="shared" si="484"/>
        <v>4915.6871792391248</v>
      </c>
      <c r="AC210" s="101"/>
      <c r="AD210" s="182">
        <f t="shared" si="485"/>
        <v>698867343.48439789</v>
      </c>
      <c r="AE210" s="182">
        <f t="shared" si="479"/>
        <v>6751871.1787569504</v>
      </c>
      <c r="AF210" s="195">
        <f t="shared" si="479"/>
        <v>94476.503939330345</v>
      </c>
      <c r="AG210" s="184">
        <f t="shared" si="479"/>
        <v>-278175.62452398753</v>
      </c>
    </row>
    <row r="211" spans="13:33" x14ac:dyDescent="0.3">
      <c r="M211" s="111"/>
      <c r="N211" s="8"/>
      <c r="O211" s="194">
        <f t="shared" si="499"/>
        <v>725331752.83701181</v>
      </c>
      <c r="P211" s="194">
        <f t="shared" si="499"/>
        <v>7469673.0629823096</v>
      </c>
      <c r="Q211" s="196">
        <f t="shared" si="499"/>
        <v>423578.22367093188</v>
      </c>
      <c r="R211" s="193">
        <f t="shared" si="499"/>
        <v>26567.633293408668</v>
      </c>
      <c r="T211" s="194">
        <f t="shared" si="480"/>
        <v>725225974.32581615</v>
      </c>
      <c r="U211" s="194">
        <f t="shared" si="477"/>
        <v>7454736.6638681842</v>
      </c>
      <c r="V211" s="196">
        <f t="shared" si="477"/>
        <v>411159.36004131311</v>
      </c>
      <c r="W211" s="193">
        <f t="shared" si="477"/>
        <v>14292.756039821787</v>
      </c>
      <c r="Y211" s="194">
        <f t="shared" si="481"/>
        <v>725120804.45741117</v>
      </c>
      <c r="Z211" s="194">
        <f t="shared" si="482"/>
        <v>7444023.3151871851</v>
      </c>
      <c r="AA211" s="196">
        <f t="shared" si="483"/>
        <v>403063.71403916308</v>
      </c>
      <c r="AB211" s="197">
        <f t="shared" si="484"/>
        <v>6346.8253146067655</v>
      </c>
      <c r="AC211" s="101"/>
      <c r="AD211" s="194">
        <f t="shared" si="485"/>
        <v>722167527.14300239</v>
      </c>
      <c r="AE211" s="194">
        <f t="shared" si="479"/>
        <v>7084926.846055435</v>
      </c>
      <c r="AF211" s="196">
        <f t="shared" si="479"/>
        <v>115860.57919439988</v>
      </c>
      <c r="AG211" s="197">
        <f t="shared" si="479"/>
        <v>-276744.48638861987</v>
      </c>
    </row>
    <row r="212" spans="13:33" s="217" customFormat="1" x14ac:dyDescent="0.3">
      <c r="M212" s="237"/>
      <c r="N212" s="207"/>
      <c r="O212" s="182">
        <f>O82*O133</f>
        <v>13942989.630030654</v>
      </c>
      <c r="P212" s="195">
        <f t="shared" ref="P212:R212" si="500">P82*P133</f>
        <v>136166.25118870867</v>
      </c>
      <c r="Q212" s="184">
        <f t="shared" si="500"/>
        <v>7467.7180524130863</v>
      </c>
      <c r="R212" s="184">
        <f t="shared" si="500"/>
        <v>460.83707685019755</v>
      </c>
      <c r="T212" s="182">
        <f t="shared" ref="T212" si="501">O212-T$147</f>
        <v>13837211.11883503</v>
      </c>
      <c r="U212" s="195">
        <f t="shared" ref="U212" si="502">P212-U$147</f>
        <v>121229.85207458367</v>
      </c>
      <c r="V212" s="184">
        <f t="shared" ref="V212" si="503">Q212-V$147</f>
        <v>-4951.1455772056643</v>
      </c>
      <c r="W212" s="184">
        <f t="shared" ref="W212" si="504">R212-W$147</f>
        <v>-11814.040176736684</v>
      </c>
      <c r="Y212" s="182">
        <f t="shared" ref="Y212" si="505">O212-Y$203</f>
        <v>13732041.250430029</v>
      </c>
      <c r="Z212" s="195">
        <f t="shared" ref="Z212" si="506">P212-Z$203</f>
        <v>110516.50339358367</v>
      </c>
      <c r="AA212" s="184">
        <f t="shared" ref="AA212" si="507">Q212-AA$203</f>
        <v>-13046.791579355715</v>
      </c>
      <c r="AB212" s="184">
        <f t="shared" ref="AB212" si="508">R212-AB$203</f>
        <v>-19759.970901951703</v>
      </c>
      <c r="AC212" s="101"/>
      <c r="AD212" s="182">
        <f t="shared" ref="AD212" si="509">O212-AD$203</f>
        <v>10778763.93602128</v>
      </c>
      <c r="AE212" s="184">
        <f t="shared" ref="AE212" si="510">P212-AE$203</f>
        <v>-248579.96573816633</v>
      </c>
      <c r="AF212" s="184">
        <f t="shared" ref="AF212" si="511">Q212-AF$203</f>
        <v>-300249.92642411892</v>
      </c>
      <c r="AG212" s="184">
        <f t="shared" ref="AG212" si="512">R212-AG$203</f>
        <v>-302851.28260517836</v>
      </c>
    </row>
    <row r="213" spans="13:33" ht="28.8" x14ac:dyDescent="0.3">
      <c r="M213" s="210" t="s">
        <v>902</v>
      </c>
      <c r="O213" s="182">
        <f t="shared" ref="O213:R215" si="513">O83*O134</f>
        <v>15140855.733907625</v>
      </c>
      <c r="P213" s="195">
        <f t="shared" si="513"/>
        <v>151329.17505422435</v>
      </c>
      <c r="Q213" s="184">
        <f t="shared" si="513"/>
        <v>8436.8082222965877</v>
      </c>
      <c r="R213" s="184">
        <f t="shared" si="513"/>
        <v>524.57673241706482</v>
      </c>
      <c r="T213" s="182">
        <f t="shared" si="480"/>
        <v>15035077.222712001</v>
      </c>
      <c r="U213" s="195">
        <f t="shared" si="477"/>
        <v>136392.77594009935</v>
      </c>
      <c r="V213" s="184">
        <f t="shared" si="477"/>
        <v>-3982.0554073221629</v>
      </c>
      <c r="W213" s="184">
        <f t="shared" si="477"/>
        <v>-11750.300521169816</v>
      </c>
      <c r="Y213" s="182">
        <f t="shared" si="481"/>
        <v>14929907.354307</v>
      </c>
      <c r="Z213" s="195">
        <f t="shared" si="482"/>
        <v>125679.42725909935</v>
      </c>
      <c r="AA213" s="184">
        <f t="shared" si="483"/>
        <v>-12077.701409472213</v>
      </c>
      <c r="AB213" s="184">
        <f t="shared" si="484"/>
        <v>-19696.231246384836</v>
      </c>
      <c r="AC213" s="101"/>
      <c r="AD213" s="182">
        <f t="shared" si="485"/>
        <v>11976630.03989825</v>
      </c>
      <c r="AE213" s="184">
        <f t="shared" si="479"/>
        <v>-233417.04187265065</v>
      </c>
      <c r="AF213" s="184">
        <f t="shared" si="479"/>
        <v>-299280.83625423542</v>
      </c>
      <c r="AG213" s="184">
        <f t="shared" si="479"/>
        <v>-302787.5429496115</v>
      </c>
    </row>
    <row r="214" spans="13:33" x14ac:dyDescent="0.3">
      <c r="M214" s="210"/>
      <c r="O214" s="182">
        <f t="shared" si="513"/>
        <v>15990133.89551696</v>
      </c>
      <c r="P214" s="195">
        <f t="shared" si="513"/>
        <v>162550.33637819177</v>
      </c>
      <c r="Q214" s="184">
        <f t="shared" si="513"/>
        <v>9160.7536861760636</v>
      </c>
      <c r="R214" s="184">
        <f t="shared" si="513"/>
        <v>572.53254823209511</v>
      </c>
      <c r="T214" s="182">
        <f t="shared" si="480"/>
        <v>15884355.384321336</v>
      </c>
      <c r="U214" s="195">
        <f t="shared" si="477"/>
        <v>147613.93726406677</v>
      </c>
      <c r="V214" s="184">
        <f t="shared" si="477"/>
        <v>-3258.1099434426869</v>
      </c>
      <c r="W214" s="184">
        <f t="shared" si="477"/>
        <v>-11702.344705354786</v>
      </c>
      <c r="Y214" s="182">
        <f t="shared" si="481"/>
        <v>15779185.515916334</v>
      </c>
      <c r="Z214" s="195">
        <f t="shared" si="482"/>
        <v>136900.58858306677</v>
      </c>
      <c r="AA214" s="184">
        <f t="shared" si="483"/>
        <v>-11353.755945592737</v>
      </c>
      <c r="AB214" s="184">
        <f t="shared" si="484"/>
        <v>-19648.275430569807</v>
      </c>
      <c r="AC214" s="101"/>
      <c r="AD214" s="182">
        <f t="shared" si="485"/>
        <v>12825908.201507585</v>
      </c>
      <c r="AE214" s="184">
        <f t="shared" si="479"/>
        <v>-222195.88054868323</v>
      </c>
      <c r="AF214" s="184">
        <f t="shared" si="479"/>
        <v>-298556.89079035592</v>
      </c>
      <c r="AG214" s="184">
        <f t="shared" si="479"/>
        <v>-302739.58713379642</v>
      </c>
    </row>
    <row r="215" spans="13:33" x14ac:dyDescent="0.3">
      <c r="M215" s="111"/>
      <c r="N215" s="8"/>
      <c r="O215" s="194">
        <f t="shared" si="513"/>
        <v>16520840.879146269</v>
      </c>
      <c r="P215" s="196">
        <f t="shared" si="513"/>
        <v>170136.3267361412</v>
      </c>
      <c r="Q215" s="197">
        <f t="shared" si="513"/>
        <v>9647.8175755685879</v>
      </c>
      <c r="R215" s="197">
        <f t="shared" si="513"/>
        <v>605.12950171994237</v>
      </c>
      <c r="T215" s="194">
        <f t="shared" si="480"/>
        <v>16415062.367950644</v>
      </c>
      <c r="U215" s="196">
        <f t="shared" si="477"/>
        <v>155199.9276220162</v>
      </c>
      <c r="V215" s="197">
        <f t="shared" si="477"/>
        <v>-2771.0460540501626</v>
      </c>
      <c r="W215" s="197">
        <f t="shared" si="477"/>
        <v>-11669.747751866938</v>
      </c>
      <c r="Y215" s="194">
        <f t="shared" si="481"/>
        <v>16309892.499545643</v>
      </c>
      <c r="Z215" s="196">
        <f t="shared" si="482"/>
        <v>144486.5789410162</v>
      </c>
      <c r="AA215" s="197">
        <f t="shared" si="483"/>
        <v>-10866.692056200212</v>
      </c>
      <c r="AB215" s="197">
        <f t="shared" si="484"/>
        <v>-19615.678477081961</v>
      </c>
      <c r="AC215" s="101"/>
      <c r="AD215" s="194">
        <f t="shared" si="485"/>
        <v>13356615.185136894</v>
      </c>
      <c r="AE215" s="197">
        <f t="shared" si="479"/>
        <v>-214609.8901907338</v>
      </c>
      <c r="AF215" s="197">
        <f t="shared" si="479"/>
        <v>-298069.82690096344</v>
      </c>
      <c r="AG215" s="197">
        <f t="shared" si="479"/>
        <v>-302706.99018030858</v>
      </c>
    </row>
    <row r="216" spans="13:33" s="217" customFormat="1" x14ac:dyDescent="0.3">
      <c r="M216" s="237"/>
      <c r="N216" s="207"/>
      <c r="O216" s="182">
        <f>O86*O133</f>
        <v>4573778.4164765002</v>
      </c>
      <c r="P216" s="183">
        <f t="shared" ref="P216:R216" si="514">P86*P133</f>
        <v>44667.19672501571</v>
      </c>
      <c r="Q216" s="184">
        <f t="shared" si="514"/>
        <v>2449.6674353751064</v>
      </c>
      <c r="R216" s="184">
        <f t="shared" si="514"/>
        <v>151.1703538149244</v>
      </c>
      <c r="T216" s="182">
        <f t="shared" ref="T216" si="515">O216-T$147</f>
        <v>4467999.905280875</v>
      </c>
      <c r="U216" s="183">
        <f t="shared" ref="U216" si="516">P216-U$147</f>
        <v>29730.79761089071</v>
      </c>
      <c r="V216" s="184">
        <f t="shared" ref="V216" si="517">Q216-V$147</f>
        <v>-9969.1961942436446</v>
      </c>
      <c r="W216" s="184">
        <f t="shared" ref="W216" si="518">R216-W$147</f>
        <v>-12123.706899771956</v>
      </c>
      <c r="Y216" s="182">
        <f t="shared" ref="Y216" si="519">O216-Y$203</f>
        <v>4362830.0368758757</v>
      </c>
      <c r="Z216" s="183">
        <f t="shared" ref="Z216" si="520">P216-Z$203</f>
        <v>19017.44892989071</v>
      </c>
      <c r="AA216" s="184">
        <f t="shared" ref="AA216" si="521">Q216-AA$203</f>
        <v>-18064.842196393693</v>
      </c>
      <c r="AB216" s="184">
        <f t="shared" ref="AB216" si="522">R216-AB$203</f>
        <v>-20069.637624986979</v>
      </c>
      <c r="AC216" s="101"/>
      <c r="AD216" s="182">
        <f t="shared" ref="AD216" si="523">O216-AD$203</f>
        <v>1409552.7224671254</v>
      </c>
      <c r="AE216" s="184">
        <f t="shared" ref="AE216" si="524">P216-AE$203</f>
        <v>-340079.0202018593</v>
      </c>
      <c r="AF216" s="184">
        <f t="shared" ref="AF216" si="525">Q216-AF$203</f>
        <v>-305267.9770411569</v>
      </c>
      <c r="AG216" s="184">
        <f t="shared" ref="AG216" si="526">R216-AG$203</f>
        <v>-303160.94932821364</v>
      </c>
    </row>
    <row r="217" spans="13:33" ht="28.8" x14ac:dyDescent="0.3">
      <c r="M217" s="210" t="s">
        <v>903</v>
      </c>
      <c r="O217" s="182">
        <f t="shared" ref="O217:R219" si="527">O87*O134</f>
        <v>4966719.5486954469</v>
      </c>
      <c r="P217" s="183">
        <f t="shared" si="527"/>
        <v>49641.15537714013</v>
      </c>
      <c r="Q217" s="184">
        <f t="shared" si="527"/>
        <v>2767.5622212312273</v>
      </c>
      <c r="R217" s="184">
        <f t="shared" si="527"/>
        <v>172.07914516032417</v>
      </c>
      <c r="T217" s="182">
        <f t="shared" si="480"/>
        <v>4860941.0374998217</v>
      </c>
      <c r="U217" s="183">
        <f t="shared" si="477"/>
        <v>34704.75626301513</v>
      </c>
      <c r="V217" s="184">
        <f t="shared" si="477"/>
        <v>-9651.3014083875241</v>
      </c>
      <c r="W217" s="184">
        <f t="shared" si="477"/>
        <v>-12102.798108426558</v>
      </c>
      <c r="Y217" s="182">
        <f t="shared" si="481"/>
        <v>4755771.1690948224</v>
      </c>
      <c r="Z217" s="183">
        <f t="shared" si="482"/>
        <v>23991.40758201513</v>
      </c>
      <c r="AA217" s="184">
        <f t="shared" si="483"/>
        <v>-17746.947410537574</v>
      </c>
      <c r="AB217" s="184">
        <f t="shared" si="484"/>
        <v>-20048.728833641577</v>
      </c>
      <c r="AC217" s="101"/>
      <c r="AD217" s="182">
        <f t="shared" si="485"/>
        <v>1802493.8546860721</v>
      </c>
      <c r="AE217" s="184">
        <f t="shared" si="479"/>
        <v>-335105.06154973485</v>
      </c>
      <c r="AF217" s="184">
        <f t="shared" si="479"/>
        <v>-304950.08225530077</v>
      </c>
      <c r="AG217" s="184">
        <f t="shared" si="479"/>
        <v>-303140.04053686821</v>
      </c>
    </row>
    <row r="218" spans="13:33" x14ac:dyDescent="0.3">
      <c r="M218" s="210"/>
      <c r="O218" s="182">
        <f t="shared" si="527"/>
        <v>5245311.8899525404</v>
      </c>
      <c r="P218" s="183">
        <f t="shared" si="527"/>
        <v>53322.080833817112</v>
      </c>
      <c r="Q218" s="184">
        <f t="shared" si="527"/>
        <v>3005.041142557136</v>
      </c>
      <c r="R218" s="184">
        <f t="shared" si="527"/>
        <v>187.81029616447398</v>
      </c>
      <c r="T218" s="182">
        <f t="shared" si="480"/>
        <v>5139533.3787569152</v>
      </c>
      <c r="U218" s="183">
        <f t="shared" si="477"/>
        <v>38385.681719692111</v>
      </c>
      <c r="V218" s="184">
        <f t="shared" si="477"/>
        <v>-9413.8224870616141</v>
      </c>
      <c r="W218" s="184">
        <f t="shared" si="477"/>
        <v>-12087.066957422407</v>
      </c>
      <c r="Y218" s="182">
        <f t="shared" si="481"/>
        <v>5034363.5103519158</v>
      </c>
      <c r="Z218" s="183">
        <f t="shared" si="482"/>
        <v>27672.333038692112</v>
      </c>
      <c r="AA218" s="184">
        <f t="shared" si="483"/>
        <v>-17509.468489211664</v>
      </c>
      <c r="AB218" s="184">
        <f t="shared" si="484"/>
        <v>-20032.99768263743</v>
      </c>
      <c r="AC218" s="101"/>
      <c r="AD218" s="182">
        <f t="shared" si="485"/>
        <v>2081086.1959431656</v>
      </c>
      <c r="AE218" s="184">
        <f t="shared" si="479"/>
        <v>-331424.13609305787</v>
      </c>
      <c r="AF218" s="184">
        <f t="shared" si="479"/>
        <v>-304712.6033339749</v>
      </c>
      <c r="AG218" s="184">
        <f t="shared" si="479"/>
        <v>-303124.30938586406</v>
      </c>
    </row>
    <row r="219" spans="13:33" x14ac:dyDescent="0.3">
      <c r="M219" s="111"/>
      <c r="N219" s="8"/>
      <c r="O219" s="194">
        <f t="shared" si="527"/>
        <v>5419401.9675904838</v>
      </c>
      <c r="P219" s="193">
        <f t="shared" si="527"/>
        <v>55810.545638528565</v>
      </c>
      <c r="Q219" s="197">
        <f t="shared" si="527"/>
        <v>3164.8147896629557</v>
      </c>
      <c r="R219" s="197">
        <f t="shared" si="527"/>
        <v>198.50321398637993</v>
      </c>
      <c r="T219" s="194">
        <f t="shared" si="480"/>
        <v>5313623.4563948587</v>
      </c>
      <c r="U219" s="193">
        <f t="shared" si="477"/>
        <v>40874.146524403564</v>
      </c>
      <c r="V219" s="197">
        <f t="shared" si="477"/>
        <v>-9254.0488399557944</v>
      </c>
      <c r="W219" s="197">
        <f t="shared" si="477"/>
        <v>-12076.374039600501</v>
      </c>
      <c r="Y219" s="194">
        <f t="shared" si="481"/>
        <v>5208453.5879898593</v>
      </c>
      <c r="Z219" s="193">
        <f t="shared" si="482"/>
        <v>30160.797843403565</v>
      </c>
      <c r="AA219" s="197">
        <f t="shared" si="483"/>
        <v>-17349.694842105844</v>
      </c>
      <c r="AB219" s="197">
        <f t="shared" si="484"/>
        <v>-20022.304764815523</v>
      </c>
      <c r="AC219" s="101"/>
      <c r="AD219" s="194">
        <f t="shared" si="485"/>
        <v>2255176.273581109</v>
      </c>
      <c r="AE219" s="197">
        <f t="shared" si="479"/>
        <v>-328935.67128834641</v>
      </c>
      <c r="AF219" s="197">
        <f t="shared" si="479"/>
        <v>-304552.82968686905</v>
      </c>
      <c r="AG219" s="197">
        <f t="shared" si="479"/>
        <v>-303113.61646804214</v>
      </c>
    </row>
    <row r="220" spans="13:33" s="217" customFormat="1" x14ac:dyDescent="0.3">
      <c r="M220" s="237"/>
      <c r="N220" s="207"/>
      <c r="O220" s="195">
        <f>O90*O133</f>
        <v>694163.1200862478</v>
      </c>
      <c r="P220" s="184">
        <f t="shared" ref="P220:R220" si="528">P90*P133</f>
        <v>6779.1479649399944</v>
      </c>
      <c r="Q220" s="184">
        <f t="shared" si="528"/>
        <v>371.78643897306466</v>
      </c>
      <c r="R220" s="184">
        <f t="shared" si="528"/>
        <v>22.943150042137397</v>
      </c>
      <c r="T220" s="195">
        <f t="shared" ref="T220" si="529">O220-T$147</f>
        <v>588384.60889062285</v>
      </c>
      <c r="U220" s="184">
        <f t="shared" ref="U220" si="530">P220-U$147</f>
        <v>-8157.2511491850064</v>
      </c>
      <c r="V220" s="184">
        <f t="shared" ref="V220" si="531">Q220-V$147</f>
        <v>-12047.077190645687</v>
      </c>
      <c r="W220" s="184">
        <f t="shared" ref="W220" si="532">R220-W$147</f>
        <v>-12251.934103544743</v>
      </c>
      <c r="Y220" s="195">
        <f t="shared" ref="Y220" si="533">O220-Y$203</f>
        <v>483214.74048562278</v>
      </c>
      <c r="Z220" s="184">
        <f t="shared" ref="Z220" si="534">P220-Z$203</f>
        <v>-18870.599830185005</v>
      </c>
      <c r="AA220" s="184">
        <f t="shared" ref="AA220" si="535">Q220-AA$203</f>
        <v>-20142.723192795736</v>
      </c>
      <c r="AB220" s="184">
        <f t="shared" ref="AB220" si="536">R220-AB$203</f>
        <v>-20197.864828759764</v>
      </c>
      <c r="AC220" s="101"/>
      <c r="AD220" s="184">
        <f t="shared" ref="AD220" si="537">O220-AD$203</f>
        <v>-2470062.5739231268</v>
      </c>
      <c r="AE220" s="184">
        <f t="shared" ref="AE220" si="538">P220-AE$203</f>
        <v>-377967.068961935</v>
      </c>
      <c r="AF220" s="184">
        <f t="shared" ref="AF220" si="539">Q220-AF$203</f>
        <v>-307345.85803755897</v>
      </c>
      <c r="AG220" s="184">
        <f t="shared" ref="AG220" si="540">R220-AG$203</f>
        <v>-303289.17653198639</v>
      </c>
    </row>
    <row r="221" spans="13:33" ht="28.8" x14ac:dyDescent="0.3">
      <c r="M221" s="210" t="s">
        <v>904</v>
      </c>
      <c r="O221" s="195">
        <f t="shared" ref="O221:R223" si="541">O91*O134</f>
        <v>753799.86185946572</v>
      </c>
      <c r="P221" s="184">
        <f t="shared" si="541"/>
        <v>7534.046506745296</v>
      </c>
      <c r="Q221" s="184">
        <f t="shared" si="541"/>
        <v>420.03338412766459</v>
      </c>
      <c r="R221" s="184">
        <f t="shared" si="541"/>
        <v>26.116480823810086</v>
      </c>
      <c r="T221" s="195">
        <f t="shared" si="480"/>
        <v>648021.35066384077</v>
      </c>
      <c r="U221" s="184">
        <f t="shared" si="477"/>
        <v>-7402.3526073797048</v>
      </c>
      <c r="V221" s="184">
        <f t="shared" si="477"/>
        <v>-11998.830245491086</v>
      </c>
      <c r="W221" s="184">
        <f t="shared" si="477"/>
        <v>-12248.760772763071</v>
      </c>
      <c r="Y221" s="195">
        <f t="shared" si="481"/>
        <v>542851.4822588407</v>
      </c>
      <c r="Z221" s="184">
        <f t="shared" si="482"/>
        <v>-18115.701288379703</v>
      </c>
      <c r="AA221" s="184">
        <f t="shared" si="483"/>
        <v>-20094.476247641134</v>
      </c>
      <c r="AB221" s="184">
        <f t="shared" si="484"/>
        <v>-20194.691497978092</v>
      </c>
      <c r="AC221" s="101"/>
      <c r="AD221" s="184">
        <f t="shared" si="485"/>
        <v>-2410425.8321499089</v>
      </c>
      <c r="AE221" s="184">
        <f t="shared" si="479"/>
        <v>-377212.17042012973</v>
      </c>
      <c r="AF221" s="184">
        <f t="shared" si="479"/>
        <v>-307297.61109240435</v>
      </c>
      <c r="AG221" s="184">
        <f t="shared" si="479"/>
        <v>-303286.0032012047</v>
      </c>
    </row>
    <row r="222" spans="13:33" x14ac:dyDescent="0.3">
      <c r="M222" s="210"/>
      <c r="O222" s="195">
        <f t="shared" si="541"/>
        <v>796081.86838223424</v>
      </c>
      <c r="P222" s="184">
        <f t="shared" si="541"/>
        <v>8092.7011828457198</v>
      </c>
      <c r="Q222" s="184">
        <f t="shared" si="541"/>
        <v>456.07559998763276</v>
      </c>
      <c r="R222" s="184">
        <f t="shared" si="541"/>
        <v>28.504000259437003</v>
      </c>
      <c r="T222" s="195">
        <f t="shared" si="480"/>
        <v>690303.35718660918</v>
      </c>
      <c r="U222" s="184">
        <f t="shared" si="477"/>
        <v>-6843.697931279281</v>
      </c>
      <c r="V222" s="184">
        <f t="shared" si="477"/>
        <v>-11962.788029631118</v>
      </c>
      <c r="W222" s="184">
        <f t="shared" si="477"/>
        <v>-12246.373253327443</v>
      </c>
      <c r="Y222" s="195">
        <f t="shared" si="481"/>
        <v>585133.48878160922</v>
      </c>
      <c r="Z222" s="184">
        <f t="shared" si="482"/>
        <v>-17557.046612279279</v>
      </c>
      <c r="AA222" s="184">
        <f t="shared" si="483"/>
        <v>-20058.434031781169</v>
      </c>
      <c r="AB222" s="184">
        <f t="shared" si="484"/>
        <v>-20192.303978542466</v>
      </c>
      <c r="AC222" s="101"/>
      <c r="AD222" s="184">
        <f t="shared" si="485"/>
        <v>-2368143.8256271407</v>
      </c>
      <c r="AE222" s="184">
        <f t="shared" si="479"/>
        <v>-376653.51574402925</v>
      </c>
      <c r="AF222" s="184">
        <f t="shared" si="479"/>
        <v>-307261.56887654436</v>
      </c>
      <c r="AG222" s="184">
        <f t="shared" si="479"/>
        <v>-303283.61568176909</v>
      </c>
    </row>
    <row r="223" spans="13:33" x14ac:dyDescent="0.3">
      <c r="M223" s="111"/>
      <c r="N223" s="8"/>
      <c r="O223" s="196">
        <f t="shared" si="541"/>
        <v>822503.54876663478</v>
      </c>
      <c r="P223" s="197">
        <f t="shared" si="541"/>
        <v>8470.3759050929893</v>
      </c>
      <c r="Q223" s="197">
        <f t="shared" si="541"/>
        <v>480.32447330055891</v>
      </c>
      <c r="R223" s="197">
        <f t="shared" si="541"/>
        <v>30.126866197004272</v>
      </c>
      <c r="T223" s="196">
        <f t="shared" si="480"/>
        <v>716725.03757100971</v>
      </c>
      <c r="U223" s="197">
        <f t="shared" si="477"/>
        <v>-6466.0232090320114</v>
      </c>
      <c r="V223" s="197">
        <f t="shared" si="477"/>
        <v>-11938.539156318191</v>
      </c>
      <c r="W223" s="197">
        <f t="shared" si="477"/>
        <v>-12244.750387389877</v>
      </c>
      <c r="Y223" s="196">
        <f t="shared" si="481"/>
        <v>611555.16916600976</v>
      </c>
      <c r="Z223" s="197">
        <f t="shared" si="482"/>
        <v>-17179.371890032009</v>
      </c>
      <c r="AA223" s="197">
        <f t="shared" si="483"/>
        <v>-20034.185158468241</v>
      </c>
      <c r="AB223" s="197">
        <f t="shared" si="484"/>
        <v>-20190.6811126049</v>
      </c>
      <c r="AC223" s="101"/>
      <c r="AD223" s="197">
        <f t="shared" si="485"/>
        <v>-2341722.1452427399</v>
      </c>
      <c r="AE223" s="197">
        <f t="shared" si="479"/>
        <v>-376275.84102178202</v>
      </c>
      <c r="AF223" s="197">
        <f t="shared" si="479"/>
        <v>-307237.32000323146</v>
      </c>
      <c r="AG223" s="197">
        <f t="shared" si="479"/>
        <v>-303281.99281583156</v>
      </c>
    </row>
    <row r="224" spans="13:33" s="217" customFormat="1" x14ac:dyDescent="0.3">
      <c r="M224" s="237"/>
      <c r="N224" s="207"/>
      <c r="O224" s="184">
        <f>O94*O133</f>
        <v>3981.8152203800064</v>
      </c>
      <c r="P224" s="184">
        <f t="shared" ref="P224:R224" si="542">P94*P133</f>
        <v>38.886125993919656</v>
      </c>
      <c r="Q224" s="184">
        <f t="shared" si="542"/>
        <v>2.1326181967862214</v>
      </c>
      <c r="R224" s="184">
        <f t="shared" si="542"/>
        <v>0.13160506716331202</v>
      </c>
      <c r="T224" s="184">
        <f t="shared" ref="T224" si="543">O224-T$147</f>
        <v>-101796.69597524499</v>
      </c>
      <c r="U224" s="184">
        <f t="shared" ref="U224" si="544">P224-U$147</f>
        <v>-14897.51298813108</v>
      </c>
      <c r="V224" s="184">
        <f t="shared" ref="V224" si="545">Q224-V$147</f>
        <v>-12416.731011421964</v>
      </c>
      <c r="W224" s="184">
        <f t="shared" ref="W224" si="546">R224-W$147</f>
        <v>-12274.745648519718</v>
      </c>
      <c r="Y224" s="184">
        <f t="shared" ref="Y224" si="547">O224-Y$203</f>
        <v>-206966.56438024499</v>
      </c>
      <c r="Z224" s="184">
        <f t="shared" ref="Z224" si="548">P224-Z$203</f>
        <v>-25610.861669131082</v>
      </c>
      <c r="AA224" s="184">
        <f t="shared" ref="AA224" si="549">Q224-AA$203</f>
        <v>-20512.377013572015</v>
      </c>
      <c r="AB224" s="184">
        <f t="shared" ref="AB224" si="550">R224-AB$203</f>
        <v>-20220.676373734739</v>
      </c>
      <c r="AC224" s="101"/>
      <c r="AD224" s="184">
        <f t="shared" ref="AD224" si="551">O224-AD$203</f>
        <v>-3160243.8787889946</v>
      </c>
      <c r="AE224" s="184">
        <f t="shared" ref="AE224" si="552">P224-AE$203</f>
        <v>-384707.33080088109</v>
      </c>
      <c r="AF224" s="184">
        <f t="shared" ref="AF224" si="553">Q224-AF$203</f>
        <v>-307715.51185833523</v>
      </c>
      <c r="AG224" s="184">
        <f t="shared" ref="AG224" si="554">R224-AG$203</f>
        <v>-303311.98807696137</v>
      </c>
    </row>
    <row r="225" spans="1:33" x14ac:dyDescent="0.3">
      <c r="M225" s="210" t="s">
        <v>825</v>
      </c>
      <c r="O225" s="184">
        <f t="shared" ref="O225:R227" si="555">O95*O134</f>
        <v>4323.8997812206453</v>
      </c>
      <c r="P225" s="184">
        <f t="shared" si="555"/>
        <v>43.216327954561926</v>
      </c>
      <c r="Q225" s="184">
        <f t="shared" si="555"/>
        <v>2.4093693162198728</v>
      </c>
      <c r="R225" s="184">
        <f t="shared" si="555"/>
        <v>0.14980772939088002</v>
      </c>
      <c r="T225" s="184">
        <f t="shared" si="480"/>
        <v>-101454.61141440435</v>
      </c>
      <c r="U225" s="184">
        <f t="shared" si="477"/>
        <v>-14893.182786170439</v>
      </c>
      <c r="V225" s="184">
        <f t="shared" si="477"/>
        <v>-12416.454260302531</v>
      </c>
      <c r="W225" s="184">
        <f t="shared" si="477"/>
        <v>-12274.72744585749</v>
      </c>
      <c r="Y225" s="184">
        <f t="shared" si="481"/>
        <v>-206624.47981940434</v>
      </c>
      <c r="Z225" s="184">
        <f t="shared" si="482"/>
        <v>-25606.53146717044</v>
      </c>
      <c r="AA225" s="184">
        <f t="shared" si="483"/>
        <v>-20512.100262452579</v>
      </c>
      <c r="AB225" s="184">
        <f t="shared" si="484"/>
        <v>-20220.658171072511</v>
      </c>
      <c r="AC225" s="101"/>
      <c r="AD225" s="184">
        <f t="shared" si="485"/>
        <v>-3159901.7942281542</v>
      </c>
      <c r="AE225" s="184">
        <f t="shared" si="479"/>
        <v>-384703.00059892045</v>
      </c>
      <c r="AF225" s="184">
        <f t="shared" si="479"/>
        <v>-307715.23510721576</v>
      </c>
      <c r="AG225" s="184">
        <f t="shared" si="479"/>
        <v>-303311.96987429913</v>
      </c>
    </row>
    <row r="226" spans="1:33" x14ac:dyDescent="0.3">
      <c r="M226" s="209" t="s">
        <v>900</v>
      </c>
      <c r="O226" s="184">
        <f t="shared" si="555"/>
        <v>4566.4351914850913</v>
      </c>
      <c r="P226" s="184">
        <f t="shared" si="555"/>
        <v>46.42084808515709</v>
      </c>
      <c r="Q226" s="184">
        <f t="shared" si="555"/>
        <v>2.6161124282273387</v>
      </c>
      <c r="R226" s="184">
        <f t="shared" si="555"/>
        <v>0.16350286955700002</v>
      </c>
      <c r="T226" s="184">
        <f t="shared" si="480"/>
        <v>-101212.07600413992</v>
      </c>
      <c r="U226" s="184">
        <f t="shared" ref="U226:U227" si="556">P226-U$147</f>
        <v>-14889.978266039843</v>
      </c>
      <c r="V226" s="184">
        <f t="shared" ref="V226:V227" si="557">Q226-V$147</f>
        <v>-12416.247517190523</v>
      </c>
      <c r="W226" s="184">
        <f t="shared" ref="W226:W227" si="558">R226-W$147</f>
        <v>-12274.713750717325</v>
      </c>
      <c r="Y226" s="184">
        <f t="shared" si="481"/>
        <v>-206381.94440913989</v>
      </c>
      <c r="Z226" s="184">
        <f t="shared" si="482"/>
        <v>-25603.326947039845</v>
      </c>
      <c r="AA226" s="184">
        <f t="shared" si="483"/>
        <v>-20511.893519340574</v>
      </c>
      <c r="AB226" s="184">
        <f t="shared" si="484"/>
        <v>-20220.644475932346</v>
      </c>
      <c r="AC226" s="101"/>
      <c r="AD226" s="184">
        <f t="shared" si="485"/>
        <v>-3159659.2588178897</v>
      </c>
      <c r="AE226" s="184">
        <f t="shared" ref="AE226:AE227" si="559">P226-AE$203</f>
        <v>-384699.79607878986</v>
      </c>
      <c r="AF226" s="184">
        <f t="shared" ref="AF226:AF227" si="560">Q226-AF$203</f>
        <v>-307715.02836410375</v>
      </c>
      <c r="AG226" s="184">
        <f t="shared" ref="AG226:AG227" si="561">R226-AG$203</f>
        <v>-303311.95617915899</v>
      </c>
    </row>
    <row r="227" spans="1:33" x14ac:dyDescent="0.3">
      <c r="A227" s="86"/>
      <c r="M227" s="8"/>
      <c r="N227" s="8"/>
      <c r="O227" s="197">
        <f t="shared" si="555"/>
        <v>4717.9935875715191</v>
      </c>
      <c r="P227" s="197">
        <f t="shared" si="555"/>
        <v>48.587242285428239</v>
      </c>
      <c r="Q227" s="197">
        <f t="shared" si="555"/>
        <v>2.7552073038272975</v>
      </c>
      <c r="R227" s="197">
        <f t="shared" si="555"/>
        <v>0.17281185199046428</v>
      </c>
      <c r="T227" s="197">
        <f t="shared" si="480"/>
        <v>-101060.51760805349</v>
      </c>
      <c r="U227" s="197">
        <f t="shared" si="556"/>
        <v>-14887.811871839573</v>
      </c>
      <c r="V227" s="197">
        <f t="shared" si="557"/>
        <v>-12416.108422314923</v>
      </c>
      <c r="W227" s="197">
        <f t="shared" si="558"/>
        <v>-12274.70444173489</v>
      </c>
      <c r="Y227" s="184">
        <f t="shared" si="481"/>
        <v>-206230.38601305347</v>
      </c>
      <c r="Z227" s="184">
        <f t="shared" si="482"/>
        <v>-25601.16055283957</v>
      </c>
      <c r="AA227" s="184">
        <f t="shared" si="483"/>
        <v>-20511.754424464973</v>
      </c>
      <c r="AB227" s="184">
        <f t="shared" si="484"/>
        <v>-20220.635166949913</v>
      </c>
      <c r="AC227" s="101"/>
      <c r="AD227" s="184">
        <f t="shared" si="485"/>
        <v>-3159507.7004218032</v>
      </c>
      <c r="AE227" s="184">
        <f t="shared" si="559"/>
        <v>-384697.62968458957</v>
      </c>
      <c r="AF227" s="184">
        <f t="shared" si="560"/>
        <v>-307714.88926922815</v>
      </c>
      <c r="AG227" s="184">
        <f t="shared" si="561"/>
        <v>-303311.94687017653</v>
      </c>
    </row>
    <row r="229" spans="1:33" x14ac:dyDescent="0.3">
      <c r="M229" s="168" t="s">
        <v>857</v>
      </c>
      <c r="N229" s="168"/>
      <c r="O229" s="168"/>
      <c r="P229" s="168"/>
      <c r="Q229" s="168"/>
      <c r="R229" s="168"/>
      <c r="T229" s="178" t="s">
        <v>944</v>
      </c>
      <c r="U229" s="168"/>
      <c r="V229" s="168"/>
      <c r="W229" s="168"/>
      <c r="Y229" s="178" t="s">
        <v>943</v>
      </c>
      <c r="Z229" s="178"/>
      <c r="AA229" s="178"/>
      <c r="AB229" s="178"/>
      <c r="AC229" s="178"/>
      <c r="AD229" s="213" t="s">
        <v>945</v>
      </c>
      <c r="AE229" s="178"/>
      <c r="AF229" s="178"/>
      <c r="AG229" s="178"/>
    </row>
    <row r="230" spans="1:33" x14ac:dyDescent="0.3">
      <c r="M230" s="176" t="s">
        <v>821</v>
      </c>
      <c r="N230" s="8"/>
      <c r="O230" s="188" t="s">
        <v>826</v>
      </c>
      <c r="P230" s="188" t="s">
        <v>827</v>
      </c>
      <c r="Q230" s="188" t="s">
        <v>828</v>
      </c>
      <c r="R230" s="188" t="s">
        <v>829</v>
      </c>
      <c r="T230" s="170">
        <v>105778.511195625</v>
      </c>
      <c r="U230" s="170">
        <v>14936.399114125001</v>
      </c>
      <c r="V230" s="170">
        <v>12418.863629618751</v>
      </c>
      <c r="W230" s="170">
        <v>12274.877253586881</v>
      </c>
      <c r="X230" s="8"/>
      <c r="Y230" s="170">
        <v>210948.37960062499</v>
      </c>
      <c r="Z230" s="170">
        <v>25649.747795125</v>
      </c>
      <c r="AA230" s="170">
        <v>20514.5096317688</v>
      </c>
      <c r="AB230" s="170">
        <v>20220.807978801902</v>
      </c>
      <c r="AC230" s="8"/>
      <c r="AD230" s="170">
        <f>Y230*15</f>
        <v>3164225.6940093748</v>
      </c>
      <c r="AE230" s="170">
        <f>Z230*15</f>
        <v>384746.216926875</v>
      </c>
      <c r="AF230" s="170">
        <f>AA230*15</f>
        <v>307717.644476532</v>
      </c>
      <c r="AG230" s="170">
        <f>AB230*15</f>
        <v>303312.11968202854</v>
      </c>
    </row>
    <row r="231" spans="1:33" s="217" customFormat="1" x14ac:dyDescent="0.3">
      <c r="M231" s="225"/>
      <c r="N231" s="207"/>
      <c r="O231" s="182">
        <f>O74*(O133+O137)</f>
        <v>1361640850.3354187</v>
      </c>
      <c r="P231" s="182">
        <f t="shared" ref="P231:R231" si="562">P74*(P133+P137)</f>
        <v>14588742.608973218</v>
      </c>
      <c r="Q231" s="182">
        <f t="shared" si="562"/>
        <v>824629.39804957376</v>
      </c>
      <c r="R231" s="183">
        <f t="shared" si="562"/>
        <v>55012.281232354006</v>
      </c>
      <c r="T231" s="182">
        <f>O231-T$147</f>
        <v>1361535071.824223</v>
      </c>
      <c r="U231" s="182">
        <f t="shared" ref="U231" si="563">P231-U$147</f>
        <v>14573806.209859094</v>
      </c>
      <c r="V231" s="182">
        <f t="shared" ref="V231" si="564">Q231-V$147</f>
        <v>812210.53441995499</v>
      </c>
      <c r="W231" s="183">
        <f t="shared" ref="W231" si="565">R231-W$147</f>
        <v>42737.403978767121</v>
      </c>
      <c r="X231" s="207"/>
      <c r="Y231" s="182">
        <f>O231-Y$230</f>
        <v>1361429901.9558182</v>
      </c>
      <c r="Z231" s="182">
        <f t="shared" ref="Z231" si="566">P231-Z$230</f>
        <v>14563092.861178093</v>
      </c>
      <c r="AA231" s="182">
        <f t="shared" ref="AA231" si="567">Q231-AA$230</f>
        <v>804114.88841780496</v>
      </c>
      <c r="AB231" s="183">
        <f t="shared" ref="AB231" si="568">R231-AB$230</f>
        <v>34791.473253552103</v>
      </c>
      <c r="AC231" s="207"/>
      <c r="AD231" s="182">
        <f>O231-AD$230</f>
        <v>1358476624.6414094</v>
      </c>
      <c r="AE231" s="182">
        <f t="shared" ref="AE231" si="569">P231-AE$230</f>
        <v>14203996.392046344</v>
      </c>
      <c r="AF231" s="195">
        <f t="shared" ref="AF231" si="570">Q231-AF$230</f>
        <v>516911.75357304176</v>
      </c>
      <c r="AG231" s="184">
        <f t="shared" ref="AG231" si="571">R231-AG$230</f>
        <v>-248299.83844967454</v>
      </c>
    </row>
    <row r="232" spans="1:33" x14ac:dyDescent="0.3">
      <c r="M232" s="210" t="s">
        <v>824</v>
      </c>
      <c r="N232" s="168"/>
      <c r="O232" s="182">
        <f t="shared" ref="O232:R234" si="572">O75*(O134+O138)</f>
        <v>1478256491.8435483</v>
      </c>
      <c r="P232" s="182">
        <f t="shared" si="572"/>
        <v>16178920.487920642</v>
      </c>
      <c r="Q232" s="182">
        <f t="shared" si="572"/>
        <v>931415.56964662403</v>
      </c>
      <c r="R232" s="183">
        <f t="shared" si="572"/>
        <v>62585.788428960012</v>
      </c>
      <c r="T232" s="182">
        <f>O232-T$147</f>
        <v>1478150713.3323526</v>
      </c>
      <c r="U232" s="182">
        <f t="shared" ref="U232:W252" si="573">P232-U$147</f>
        <v>16163984.088806517</v>
      </c>
      <c r="V232" s="182">
        <f t="shared" si="573"/>
        <v>918996.70601700526</v>
      </c>
      <c r="W232" s="183">
        <f t="shared" si="573"/>
        <v>50310.911175373127</v>
      </c>
      <c r="Y232" s="182">
        <f>O232-Y$230</f>
        <v>1478045543.4639478</v>
      </c>
      <c r="Z232" s="182">
        <f t="shared" ref="Z232:AB232" si="574">P232-Z$230</f>
        <v>16153270.740125516</v>
      </c>
      <c r="AA232" s="182">
        <f t="shared" si="574"/>
        <v>910901.06001485523</v>
      </c>
      <c r="AB232" s="183">
        <f t="shared" si="574"/>
        <v>42364.980450158109</v>
      </c>
      <c r="AC232" s="101"/>
      <c r="AD232" s="182">
        <f>O232-AD$230</f>
        <v>1475092266.149539</v>
      </c>
      <c r="AE232" s="182">
        <f t="shared" ref="AE232:AG252" si="575">P232-AE$230</f>
        <v>15794174.270993767</v>
      </c>
      <c r="AF232" s="195">
        <f t="shared" si="575"/>
        <v>623697.92517009203</v>
      </c>
      <c r="AG232" s="184">
        <f t="shared" si="575"/>
        <v>-240726.33125306852</v>
      </c>
    </row>
    <row r="233" spans="1:33" x14ac:dyDescent="0.3">
      <c r="A233" s="86"/>
      <c r="M233" s="210" t="s">
        <v>899</v>
      </c>
      <c r="N233" s="168"/>
      <c r="O233" s="182">
        <f t="shared" si="572"/>
        <v>1560742045.7935987</v>
      </c>
      <c r="P233" s="182">
        <f t="shared" si="572"/>
        <v>17344201.161970496</v>
      </c>
      <c r="Q233" s="182">
        <f t="shared" si="572"/>
        <v>1011144.3699102094</v>
      </c>
      <c r="R233" s="183">
        <f t="shared" si="572"/>
        <v>68281.719002349011</v>
      </c>
      <c r="T233" s="182">
        <f t="shared" ref="T233:T254" si="576">O233-T$147</f>
        <v>1560636267.282403</v>
      </c>
      <c r="U233" s="182">
        <f t="shared" si="573"/>
        <v>17329264.762856372</v>
      </c>
      <c r="V233" s="182">
        <f t="shared" si="573"/>
        <v>998725.50628059066</v>
      </c>
      <c r="W233" s="183">
        <f t="shared" si="573"/>
        <v>56006.841748762134</v>
      </c>
      <c r="Y233" s="182">
        <f t="shared" ref="Y233:Y254" si="577">O233-Y$230</f>
        <v>1560531097.4139981</v>
      </c>
      <c r="Z233" s="182">
        <f t="shared" ref="Z233:Z254" si="578">P233-Z$230</f>
        <v>17318551.414175373</v>
      </c>
      <c r="AA233" s="182">
        <f t="shared" ref="AA233:AA254" si="579">Q233-AA$230</f>
        <v>990629.86027844064</v>
      </c>
      <c r="AB233" s="183">
        <f t="shared" ref="AB233:AB254" si="580">R233-AB$230</f>
        <v>48060.911023547109</v>
      </c>
      <c r="AC233" s="101"/>
      <c r="AD233" s="182">
        <f t="shared" ref="AD233:AD254" si="581">O233-AD$230</f>
        <v>1557577820.0995893</v>
      </c>
      <c r="AE233" s="182">
        <f t="shared" si="575"/>
        <v>16959454.94504362</v>
      </c>
      <c r="AF233" s="195">
        <f t="shared" si="575"/>
        <v>703426.72543367743</v>
      </c>
      <c r="AG233" s="184">
        <f t="shared" si="575"/>
        <v>-235030.40067967953</v>
      </c>
    </row>
    <row r="234" spans="1:33" x14ac:dyDescent="0.3">
      <c r="M234" s="111"/>
      <c r="N234" s="8"/>
      <c r="O234" s="194">
        <f t="shared" si="572"/>
        <v>1611992369.4135339</v>
      </c>
      <c r="P234" s="194">
        <f t="shared" si="572"/>
        <v>18117416.754079551</v>
      </c>
      <c r="Q234" s="194">
        <f t="shared" si="572"/>
        <v>1064720.9497022296</v>
      </c>
      <c r="R234" s="193">
        <f t="shared" si="572"/>
        <v>72146.442733389951</v>
      </c>
      <c r="T234" s="194">
        <f t="shared" si="576"/>
        <v>1611886590.9023383</v>
      </c>
      <c r="U234" s="194">
        <f t="shared" si="573"/>
        <v>18102480.354965426</v>
      </c>
      <c r="V234" s="194">
        <f t="shared" si="573"/>
        <v>1052302.0860726109</v>
      </c>
      <c r="W234" s="193">
        <f t="shared" si="573"/>
        <v>59871.565479803074</v>
      </c>
      <c r="Y234" s="194">
        <f t="shared" si="577"/>
        <v>1611781421.0339334</v>
      </c>
      <c r="Z234" s="194">
        <f t="shared" si="578"/>
        <v>18091767.006284427</v>
      </c>
      <c r="AA234" s="194">
        <f t="shared" si="579"/>
        <v>1044206.4400704608</v>
      </c>
      <c r="AB234" s="193">
        <f t="shared" si="580"/>
        <v>51925.634754588049</v>
      </c>
      <c r="AC234" s="101"/>
      <c r="AD234" s="194">
        <f t="shared" si="581"/>
        <v>1608828143.7195246</v>
      </c>
      <c r="AE234" s="194">
        <f t="shared" si="575"/>
        <v>17732670.537152674</v>
      </c>
      <c r="AF234" s="196">
        <f t="shared" si="575"/>
        <v>757003.30522569758</v>
      </c>
      <c r="AG234" s="197">
        <f t="shared" si="575"/>
        <v>-231165.67694863857</v>
      </c>
    </row>
    <row r="235" spans="1:33" s="217" customFormat="1" x14ac:dyDescent="0.3">
      <c r="M235" s="237"/>
      <c r="N235" s="207"/>
      <c r="O235" s="182">
        <f>O78*(O133+O137)</f>
        <v>628005099.86489916</v>
      </c>
      <c r="P235" s="182">
        <f t="shared" ref="P235:R235" si="582">P78*(P133+P137)</f>
        <v>6728503.1561697554</v>
      </c>
      <c r="Q235" s="195">
        <f t="shared" si="582"/>
        <v>380328.97393324005</v>
      </c>
      <c r="R235" s="183">
        <f t="shared" si="582"/>
        <v>25372.324251736452</v>
      </c>
      <c r="T235" s="182">
        <f t="shared" ref="T235" si="583">O235-T$147</f>
        <v>627899321.3537035</v>
      </c>
      <c r="U235" s="182">
        <f t="shared" ref="U235" si="584">P235-U$147</f>
        <v>6713566.75705563</v>
      </c>
      <c r="V235" s="195">
        <f t="shared" ref="V235" si="585">Q235-V$147</f>
        <v>367910.11030362127</v>
      </c>
      <c r="W235" s="183">
        <f t="shared" ref="W235" si="586">R235-W$147</f>
        <v>13097.446998149571</v>
      </c>
      <c r="Y235" s="182">
        <f t="shared" ref="Y235" si="587">O235-Y$230</f>
        <v>627794151.48529851</v>
      </c>
      <c r="Z235" s="182">
        <f t="shared" ref="Z235" si="588">P235-Z$230</f>
        <v>6702853.4083746308</v>
      </c>
      <c r="AA235" s="195">
        <f t="shared" ref="AA235" si="589">Q235-AA$230</f>
        <v>359814.46430147125</v>
      </c>
      <c r="AB235" s="183">
        <f t="shared" ref="AB235" si="590">R235-AB$230</f>
        <v>5151.5162729345502</v>
      </c>
      <c r="AC235" s="101"/>
      <c r="AD235" s="182">
        <f t="shared" ref="AD235" si="591">O235-AD$230</f>
        <v>624840874.17088974</v>
      </c>
      <c r="AE235" s="182">
        <f t="shared" ref="AE235" si="592">P235-AE$230</f>
        <v>6343756.9392428808</v>
      </c>
      <c r="AF235" s="195">
        <f t="shared" ref="AF235" si="593">Q235-AF$230</f>
        <v>72611.329456708045</v>
      </c>
      <c r="AG235" s="184">
        <f t="shared" ref="AG235" si="594">R235-AG$230</f>
        <v>-277939.79543029208</v>
      </c>
    </row>
    <row r="236" spans="1:33" ht="28.8" x14ac:dyDescent="0.3">
      <c r="M236" s="210" t="s">
        <v>901</v>
      </c>
      <c r="N236" s="168"/>
      <c r="O236" s="182">
        <f t="shared" ref="O236:R238" si="595">O79*(O134+O138)</f>
        <v>681789633.11614656</v>
      </c>
      <c r="P236" s="182">
        <f t="shared" si="595"/>
        <v>7461912.2760748556</v>
      </c>
      <c r="Q236" s="195">
        <f t="shared" si="595"/>
        <v>429580.03770785884</v>
      </c>
      <c r="R236" s="183">
        <f t="shared" si="595"/>
        <v>28865.316652897505</v>
      </c>
      <c r="T236" s="182">
        <f t="shared" si="576"/>
        <v>681683854.6049509</v>
      </c>
      <c r="U236" s="182">
        <f t="shared" si="573"/>
        <v>7446975.8769607302</v>
      </c>
      <c r="V236" s="195">
        <f t="shared" si="573"/>
        <v>417161.17407824006</v>
      </c>
      <c r="W236" s="183">
        <f t="shared" si="573"/>
        <v>16590.439399310624</v>
      </c>
      <c r="Y236" s="182">
        <f t="shared" si="577"/>
        <v>681578684.73654592</v>
      </c>
      <c r="Z236" s="182">
        <f t="shared" si="578"/>
        <v>7436262.5282797311</v>
      </c>
      <c r="AA236" s="195">
        <f t="shared" si="579"/>
        <v>409065.52807609004</v>
      </c>
      <c r="AB236" s="183">
        <f t="shared" si="580"/>
        <v>8644.5086740956031</v>
      </c>
      <c r="AC236" s="101"/>
      <c r="AD236" s="182">
        <f t="shared" si="581"/>
        <v>678625407.42213714</v>
      </c>
      <c r="AE236" s="182">
        <f t="shared" si="575"/>
        <v>7077166.059147981</v>
      </c>
      <c r="AF236" s="195">
        <f t="shared" si="575"/>
        <v>121862.39323132683</v>
      </c>
      <c r="AG236" s="184">
        <f t="shared" si="575"/>
        <v>-274446.80302913103</v>
      </c>
    </row>
    <row r="237" spans="1:33" x14ac:dyDescent="0.3">
      <c r="M237" s="210"/>
      <c r="N237" s="168"/>
      <c r="O237" s="182">
        <f t="shared" si="595"/>
        <v>719832960.42455733</v>
      </c>
      <c r="P237" s="182">
        <f t="shared" si="595"/>
        <v>7999353.7063147379</v>
      </c>
      <c r="Q237" s="195">
        <f t="shared" si="595"/>
        <v>466351.91713502747</v>
      </c>
      <c r="R237" s="183">
        <f t="shared" si="595"/>
        <v>31492.348184511389</v>
      </c>
      <c r="T237" s="182">
        <f t="shared" si="576"/>
        <v>719727181.91336167</v>
      </c>
      <c r="U237" s="182">
        <f t="shared" si="573"/>
        <v>7984417.3072006125</v>
      </c>
      <c r="V237" s="195">
        <f t="shared" si="573"/>
        <v>453933.05350540869</v>
      </c>
      <c r="W237" s="183">
        <f t="shared" si="573"/>
        <v>19217.470930924508</v>
      </c>
      <c r="Y237" s="182">
        <f t="shared" si="577"/>
        <v>719622012.04495668</v>
      </c>
      <c r="Z237" s="182">
        <f t="shared" si="578"/>
        <v>7973703.9585196134</v>
      </c>
      <c r="AA237" s="195">
        <f t="shared" si="579"/>
        <v>445837.40750325867</v>
      </c>
      <c r="AB237" s="183">
        <f t="shared" si="580"/>
        <v>11271.540205709487</v>
      </c>
      <c r="AC237" s="101"/>
      <c r="AD237" s="182">
        <f t="shared" si="581"/>
        <v>716668734.7305479</v>
      </c>
      <c r="AE237" s="182">
        <f t="shared" si="575"/>
        <v>7614607.4893878633</v>
      </c>
      <c r="AF237" s="195">
        <f t="shared" si="575"/>
        <v>158634.27265849547</v>
      </c>
      <c r="AG237" s="184">
        <f t="shared" si="575"/>
        <v>-271819.77149751713</v>
      </c>
    </row>
    <row r="238" spans="1:33" x14ac:dyDescent="0.3">
      <c r="M238" s="111"/>
      <c r="N238" s="8"/>
      <c r="O238" s="194">
        <f t="shared" si="595"/>
        <v>743470224.68195498</v>
      </c>
      <c r="P238" s="194">
        <f t="shared" si="595"/>
        <v>8355970.0159825385</v>
      </c>
      <c r="Q238" s="196">
        <f t="shared" si="595"/>
        <v>491062.07865406468</v>
      </c>
      <c r="R238" s="193">
        <f t="shared" si="595"/>
        <v>33274.805145952247</v>
      </c>
      <c r="T238" s="194">
        <f t="shared" si="576"/>
        <v>743364446.17075932</v>
      </c>
      <c r="U238" s="194">
        <f t="shared" si="573"/>
        <v>8341033.6168684131</v>
      </c>
      <c r="V238" s="196">
        <f t="shared" si="573"/>
        <v>478643.2150244459</v>
      </c>
      <c r="W238" s="193">
        <f t="shared" si="573"/>
        <v>20999.927892365366</v>
      </c>
      <c r="Y238" s="194">
        <f t="shared" si="577"/>
        <v>743259276.30235434</v>
      </c>
      <c r="Z238" s="194">
        <f t="shared" si="578"/>
        <v>8330320.2681874139</v>
      </c>
      <c r="AA238" s="196">
        <f t="shared" si="579"/>
        <v>470547.56902229588</v>
      </c>
      <c r="AB238" s="193">
        <f t="shared" si="580"/>
        <v>13053.997167150344</v>
      </c>
      <c r="AC238" s="101"/>
      <c r="AD238" s="194">
        <f t="shared" si="581"/>
        <v>740305998.98794556</v>
      </c>
      <c r="AE238" s="194">
        <f t="shared" si="575"/>
        <v>7971223.7990556639</v>
      </c>
      <c r="AF238" s="196">
        <f t="shared" si="575"/>
        <v>183344.43417753268</v>
      </c>
      <c r="AG238" s="197">
        <f t="shared" si="575"/>
        <v>-270037.31453607627</v>
      </c>
    </row>
    <row r="239" spans="1:33" s="217" customFormat="1" x14ac:dyDescent="0.3">
      <c r="M239" s="237"/>
      <c r="N239" s="207"/>
      <c r="O239" s="182">
        <f>O82*(O133+O137)</f>
        <v>14304037.132773573</v>
      </c>
      <c r="P239" s="195">
        <f t="shared" ref="P239:R239" si="596">P82*(P133+P137)</f>
        <v>153254.74110726366</v>
      </c>
      <c r="Q239" s="183">
        <f t="shared" si="596"/>
        <v>8662.7318265107733</v>
      </c>
      <c r="R239" s="184">
        <f t="shared" si="596"/>
        <v>577.90401434587875</v>
      </c>
      <c r="T239" s="182">
        <f t="shared" ref="T239" si="597">O239-T$147</f>
        <v>14198258.621577948</v>
      </c>
      <c r="U239" s="195">
        <f t="shared" ref="U239" si="598">P239-U$147</f>
        <v>138318.34199313866</v>
      </c>
      <c r="V239" s="184">
        <f t="shared" ref="V239" si="599">Q239-V$147</f>
        <v>-3756.1318031079772</v>
      </c>
      <c r="W239" s="184">
        <f t="shared" ref="W239" si="600">R239-W$147</f>
        <v>-11696.973239241002</v>
      </c>
      <c r="Y239" s="182">
        <f t="shared" ref="Y239" si="601">O239-Y$230</f>
        <v>14093088.753172947</v>
      </c>
      <c r="Z239" s="195">
        <f t="shared" ref="Z239" si="602">P239-Z$230</f>
        <v>127604.99331213866</v>
      </c>
      <c r="AA239" s="184">
        <f t="shared" ref="AA239" si="603">Q239-AA$230</f>
        <v>-11851.777805258027</v>
      </c>
      <c r="AB239" s="184">
        <f t="shared" ref="AB239" si="604">R239-AB$230</f>
        <v>-19642.903964456025</v>
      </c>
      <c r="AC239" s="101"/>
      <c r="AD239" s="182">
        <f t="shared" ref="AD239" si="605">O239-AD$230</f>
        <v>11139811.438764198</v>
      </c>
      <c r="AE239" s="184">
        <f t="shared" ref="AE239" si="606">P239-AE$230</f>
        <v>-231491.47581961134</v>
      </c>
      <c r="AF239" s="184">
        <f t="shared" ref="AF239" si="607">Q239-AF$230</f>
        <v>-299054.91265002126</v>
      </c>
      <c r="AG239" s="184">
        <f t="shared" ref="AG239" si="608">R239-AG$230</f>
        <v>-302734.21566768264</v>
      </c>
    </row>
    <row r="240" spans="1:33" ht="28.8" x14ac:dyDescent="0.3">
      <c r="M240" s="210" t="s">
        <v>902</v>
      </c>
      <c r="N240" s="168"/>
      <c r="O240" s="182">
        <f t="shared" ref="O240:R242" si="609">O83*(O134+O138)</f>
        <v>15529084.446816476</v>
      </c>
      <c r="P240" s="195">
        <f t="shared" si="609"/>
        <v>169959.55972560638</v>
      </c>
      <c r="Q240" s="183">
        <f t="shared" si="609"/>
        <v>9784.520559137789</v>
      </c>
      <c r="R240" s="184">
        <f t="shared" si="609"/>
        <v>657.46370744622493</v>
      </c>
      <c r="T240" s="182">
        <f t="shared" si="576"/>
        <v>15423305.935620852</v>
      </c>
      <c r="U240" s="195">
        <f t="shared" si="573"/>
        <v>155023.16061148138</v>
      </c>
      <c r="V240" s="184">
        <f t="shared" si="573"/>
        <v>-2634.3430704809616</v>
      </c>
      <c r="W240" s="184">
        <f t="shared" si="573"/>
        <v>-11617.413546140657</v>
      </c>
      <c r="Y240" s="182">
        <f t="shared" si="577"/>
        <v>15318136.067215851</v>
      </c>
      <c r="Z240" s="195">
        <f t="shared" si="578"/>
        <v>144309.81193048137</v>
      </c>
      <c r="AA240" s="184">
        <f t="shared" si="579"/>
        <v>-10729.989072631011</v>
      </c>
      <c r="AB240" s="184">
        <f t="shared" si="580"/>
        <v>-19563.344271355676</v>
      </c>
      <c r="AC240" s="101"/>
      <c r="AD240" s="182">
        <f t="shared" si="581"/>
        <v>12364858.752807101</v>
      </c>
      <c r="AE240" s="184">
        <f t="shared" si="575"/>
        <v>-214786.65720126862</v>
      </c>
      <c r="AF240" s="184">
        <f t="shared" si="575"/>
        <v>-297933.1239173942</v>
      </c>
      <c r="AG240" s="184">
        <f t="shared" si="575"/>
        <v>-302654.6559745823</v>
      </c>
    </row>
    <row r="241" spans="1:33" x14ac:dyDescent="0.3">
      <c r="M241" s="210"/>
      <c r="N241" s="168"/>
      <c r="O241" s="182">
        <f t="shared" si="609"/>
        <v>16395595.191061754</v>
      </c>
      <c r="P241" s="195">
        <f t="shared" si="609"/>
        <v>182200.8332065001</v>
      </c>
      <c r="Q241" s="183">
        <f t="shared" si="609"/>
        <v>10622.071605906751</v>
      </c>
      <c r="R241" s="184">
        <f t="shared" si="609"/>
        <v>717.29945811967639</v>
      </c>
      <c r="T241" s="182">
        <f t="shared" si="576"/>
        <v>16289816.67986613</v>
      </c>
      <c r="U241" s="195">
        <f t="shared" si="573"/>
        <v>167264.4340923751</v>
      </c>
      <c r="V241" s="184">
        <f t="shared" si="573"/>
        <v>-1796.7920237119997</v>
      </c>
      <c r="W241" s="184">
        <f t="shared" si="573"/>
        <v>-11557.577795467205</v>
      </c>
      <c r="Y241" s="182">
        <f t="shared" si="577"/>
        <v>16184646.811461128</v>
      </c>
      <c r="Z241" s="195">
        <f t="shared" si="578"/>
        <v>156551.0854113751</v>
      </c>
      <c r="AA241" s="184">
        <f t="shared" si="579"/>
        <v>-9892.4380258620495</v>
      </c>
      <c r="AB241" s="184">
        <f t="shared" si="580"/>
        <v>-19503.508520682226</v>
      </c>
      <c r="AC241" s="101"/>
      <c r="AD241" s="182">
        <f t="shared" si="581"/>
        <v>13231369.497052379</v>
      </c>
      <c r="AE241" s="184">
        <f t="shared" si="575"/>
        <v>-202545.3837203749</v>
      </c>
      <c r="AF241" s="184">
        <f t="shared" si="575"/>
        <v>-297095.57287062524</v>
      </c>
      <c r="AG241" s="184">
        <f t="shared" si="575"/>
        <v>-302594.82022390887</v>
      </c>
    </row>
    <row r="242" spans="1:33" x14ac:dyDescent="0.3">
      <c r="M242" s="111"/>
      <c r="N242" s="8"/>
      <c r="O242" s="194">
        <f t="shared" si="609"/>
        <v>16933979.840689175</v>
      </c>
      <c r="P242" s="196">
        <f t="shared" si="609"/>
        <v>190323.46300160568</v>
      </c>
      <c r="Q242" s="193">
        <f t="shared" si="609"/>
        <v>11184.89357662192</v>
      </c>
      <c r="R242" s="197">
        <f t="shared" si="609"/>
        <v>757.89838091426145</v>
      </c>
      <c r="T242" s="194">
        <f t="shared" si="576"/>
        <v>16828201.329493549</v>
      </c>
      <c r="U242" s="196">
        <f t="shared" si="573"/>
        <v>175387.06388748068</v>
      </c>
      <c r="V242" s="197">
        <f t="shared" si="573"/>
        <v>-1233.9700529968304</v>
      </c>
      <c r="W242" s="197">
        <f t="shared" si="573"/>
        <v>-11516.97887267262</v>
      </c>
      <c r="Y242" s="194">
        <f t="shared" si="577"/>
        <v>16723031.461088549</v>
      </c>
      <c r="Z242" s="196">
        <f t="shared" si="578"/>
        <v>164673.71520648067</v>
      </c>
      <c r="AA242" s="197">
        <f t="shared" si="579"/>
        <v>-9329.6160551468802</v>
      </c>
      <c r="AB242" s="197">
        <f t="shared" si="580"/>
        <v>-19462.909597887639</v>
      </c>
      <c r="AC242" s="101"/>
      <c r="AD242" s="194">
        <f t="shared" si="581"/>
        <v>13769754.1466798</v>
      </c>
      <c r="AE242" s="197">
        <f t="shared" si="575"/>
        <v>-194422.75392526932</v>
      </c>
      <c r="AF242" s="197">
        <f t="shared" si="575"/>
        <v>-296532.75089991011</v>
      </c>
      <c r="AG242" s="197">
        <f t="shared" si="575"/>
        <v>-302554.2213011143</v>
      </c>
    </row>
    <row r="243" spans="1:33" s="217" customFormat="1" x14ac:dyDescent="0.3">
      <c r="M243" s="237"/>
      <c r="N243" s="207"/>
      <c r="O243" s="182">
        <f>O86*(O133+O137)</f>
        <v>4692214.370255853</v>
      </c>
      <c r="P243" s="183">
        <f t="shared" ref="P243:R243" si="610">P86*(P133+P137)</f>
        <v>50272.807030521704</v>
      </c>
      <c r="Q243" s="184">
        <f t="shared" si="610"/>
        <v>2841.6729056788317</v>
      </c>
      <c r="R243" s="184">
        <f t="shared" si="610"/>
        <v>189.57232112669189</v>
      </c>
      <c r="T243" s="182">
        <f t="shared" ref="T243" si="611">O243-T$147</f>
        <v>4586435.8590602279</v>
      </c>
      <c r="U243" s="183">
        <f t="shared" ref="U243" si="612">P243-U$147</f>
        <v>35336.407916396704</v>
      </c>
      <c r="V243" s="184">
        <f t="shared" ref="V243" si="613">Q243-V$147</f>
        <v>-9577.1907239399188</v>
      </c>
      <c r="W243" s="184">
        <f t="shared" ref="W243" si="614">R243-W$147</f>
        <v>-12085.304932460189</v>
      </c>
      <c r="Y243" s="182">
        <f t="shared" ref="Y243" si="615">O243-Y$230</f>
        <v>4481265.9906552285</v>
      </c>
      <c r="Z243" s="183">
        <f t="shared" ref="Z243" si="616">P243-Z$230</f>
        <v>24623.059235396704</v>
      </c>
      <c r="AA243" s="184">
        <f t="shared" ref="AA243" si="617">Q243-AA$230</f>
        <v>-17672.836726089969</v>
      </c>
      <c r="AB243" s="184">
        <f t="shared" ref="AB243" si="618">R243-AB$230</f>
        <v>-20031.23565767521</v>
      </c>
      <c r="AC243" s="101"/>
      <c r="AD243" s="182">
        <f t="shared" ref="AD243" si="619">O243-AD$230</f>
        <v>1527988.6762464782</v>
      </c>
      <c r="AE243" s="184">
        <f t="shared" ref="AE243" si="620">P243-AE$230</f>
        <v>-334473.40989635332</v>
      </c>
      <c r="AF243" s="184">
        <f t="shared" ref="AF243" si="621">Q243-AF$230</f>
        <v>-304875.97157085314</v>
      </c>
      <c r="AG243" s="184">
        <f t="shared" ref="AG243" si="622">R243-AG$230</f>
        <v>-303122.54736090184</v>
      </c>
    </row>
    <row r="244" spans="1:33" ht="28.8" x14ac:dyDescent="0.3">
      <c r="M244" s="210" t="s">
        <v>903</v>
      </c>
      <c r="N244" s="168"/>
      <c r="O244" s="182">
        <f t="shared" ref="O244:R246" si="623">O87*(O134+O138)</f>
        <v>5094071.8708928674</v>
      </c>
      <c r="P244" s="183">
        <f t="shared" si="623"/>
        <v>55752.560001374528</v>
      </c>
      <c r="Q244" s="184">
        <f t="shared" si="623"/>
        <v>3209.658053002267</v>
      </c>
      <c r="R244" s="184">
        <f t="shared" si="623"/>
        <v>215.67062692619618</v>
      </c>
      <c r="T244" s="182">
        <f t="shared" si="576"/>
        <v>4988293.3596972423</v>
      </c>
      <c r="U244" s="183">
        <f t="shared" si="573"/>
        <v>40816.160887249527</v>
      </c>
      <c r="V244" s="184">
        <f t="shared" si="573"/>
        <v>-9209.2055766164831</v>
      </c>
      <c r="W244" s="184">
        <f t="shared" si="573"/>
        <v>-12059.206626660685</v>
      </c>
      <c r="Y244" s="182">
        <f t="shared" si="577"/>
        <v>4883123.4912922429</v>
      </c>
      <c r="Z244" s="183">
        <f t="shared" si="578"/>
        <v>30102.812206249528</v>
      </c>
      <c r="AA244" s="184">
        <f t="shared" si="579"/>
        <v>-17304.851578766535</v>
      </c>
      <c r="AB244" s="184">
        <f t="shared" si="580"/>
        <v>-20005.137351875706</v>
      </c>
      <c r="AC244" s="101"/>
      <c r="AD244" s="182">
        <f t="shared" si="581"/>
        <v>1929846.1768834926</v>
      </c>
      <c r="AE244" s="184">
        <f t="shared" si="575"/>
        <v>-328993.65692550049</v>
      </c>
      <c r="AF244" s="184">
        <f t="shared" si="575"/>
        <v>-304507.98642352974</v>
      </c>
      <c r="AG244" s="184">
        <f t="shared" si="575"/>
        <v>-303096.44905510236</v>
      </c>
    </row>
    <row r="245" spans="1:33" x14ac:dyDescent="0.3">
      <c r="M245" s="210"/>
      <c r="N245" s="168"/>
      <c r="O245" s="182">
        <f t="shared" si="623"/>
        <v>5378317.0898047406</v>
      </c>
      <c r="P245" s="183">
        <f t="shared" si="623"/>
        <v>59768.117204150331</v>
      </c>
      <c r="Q245" s="184">
        <f t="shared" si="623"/>
        <v>3484.4034987105815</v>
      </c>
      <c r="R245" s="184">
        <f t="shared" si="623"/>
        <v>235.29880368209464</v>
      </c>
      <c r="T245" s="182">
        <f t="shared" si="576"/>
        <v>5272538.5786091154</v>
      </c>
      <c r="U245" s="183">
        <f t="shared" si="573"/>
        <v>44831.71809002533</v>
      </c>
      <c r="V245" s="184">
        <f t="shared" si="573"/>
        <v>-8934.46013090817</v>
      </c>
      <c r="W245" s="184">
        <f t="shared" si="573"/>
        <v>-12039.578449904786</v>
      </c>
      <c r="Y245" s="182">
        <f t="shared" si="577"/>
        <v>5167368.7102041161</v>
      </c>
      <c r="Z245" s="183">
        <f t="shared" si="578"/>
        <v>34118.369409025327</v>
      </c>
      <c r="AA245" s="184">
        <f t="shared" si="579"/>
        <v>-17030.10613305822</v>
      </c>
      <c r="AB245" s="184">
        <f t="shared" si="580"/>
        <v>-19985.509175119809</v>
      </c>
      <c r="AC245" s="101"/>
      <c r="AD245" s="182">
        <f t="shared" si="581"/>
        <v>2214091.3957953658</v>
      </c>
      <c r="AE245" s="184">
        <f t="shared" si="575"/>
        <v>-324978.09972272464</v>
      </c>
      <c r="AF245" s="184">
        <f t="shared" si="575"/>
        <v>-304233.24097782141</v>
      </c>
      <c r="AG245" s="184">
        <f t="shared" si="575"/>
        <v>-303076.82087834645</v>
      </c>
    </row>
    <row r="246" spans="1:33" x14ac:dyDescent="0.3">
      <c r="M246" s="111"/>
      <c r="N246" s="8"/>
      <c r="O246" s="194">
        <f t="shared" si="623"/>
        <v>5554925.704999038</v>
      </c>
      <c r="P246" s="193">
        <f t="shared" si="623"/>
        <v>62432.618134558128</v>
      </c>
      <c r="Q246" s="197">
        <f t="shared" si="623"/>
        <v>3669.0283926738825</v>
      </c>
      <c r="R246" s="197">
        <f t="shared" si="623"/>
        <v>248.61664165926175</v>
      </c>
      <c r="T246" s="194">
        <f t="shared" si="576"/>
        <v>5449147.1938034128</v>
      </c>
      <c r="U246" s="193">
        <f t="shared" si="573"/>
        <v>47496.219020433127</v>
      </c>
      <c r="V246" s="197">
        <f t="shared" si="573"/>
        <v>-8749.8352369448676</v>
      </c>
      <c r="W246" s="197">
        <f t="shared" si="573"/>
        <v>-12026.260611927619</v>
      </c>
      <c r="Y246" s="194">
        <f t="shared" si="577"/>
        <v>5343977.3253984135</v>
      </c>
      <c r="Z246" s="193">
        <f t="shared" si="578"/>
        <v>36782.870339433124</v>
      </c>
      <c r="AA246" s="197">
        <f t="shared" si="579"/>
        <v>-16845.481239094919</v>
      </c>
      <c r="AB246" s="197">
        <f t="shared" si="580"/>
        <v>-19972.191337142642</v>
      </c>
      <c r="AC246" s="101"/>
      <c r="AD246" s="194">
        <f t="shared" si="581"/>
        <v>2390700.0109896632</v>
      </c>
      <c r="AE246" s="197">
        <f t="shared" si="575"/>
        <v>-322313.59879231686</v>
      </c>
      <c r="AF246" s="197">
        <f t="shared" si="575"/>
        <v>-304048.61608385813</v>
      </c>
      <c r="AG246" s="197">
        <f t="shared" si="575"/>
        <v>-303063.50304036925</v>
      </c>
    </row>
    <row r="247" spans="1:33" s="217" customFormat="1" x14ac:dyDescent="0.3">
      <c r="M247" s="237"/>
      <c r="N247" s="207"/>
      <c r="O247" s="195">
        <f>O90*(O133+O137)</f>
        <v>712138.16472542402</v>
      </c>
      <c r="P247" s="184">
        <f t="shared" ref="P247:R247" si="624">P90*(P133+P137)</f>
        <v>7629.9123844929936</v>
      </c>
      <c r="Q247" s="184">
        <f t="shared" si="624"/>
        <v>431.28117517992723</v>
      </c>
      <c r="R247" s="184">
        <f t="shared" si="624"/>
        <v>28.77142308452115</v>
      </c>
      <c r="T247" s="195">
        <f t="shared" ref="T247" si="625">O247-T$147</f>
        <v>606359.65352979908</v>
      </c>
      <c r="U247" s="184">
        <f t="shared" ref="U247" si="626">P247-U$147</f>
        <v>-7306.4867296320072</v>
      </c>
      <c r="V247" s="184">
        <f t="shared" ref="V247" si="627">Q247-V$147</f>
        <v>-11987.582454438823</v>
      </c>
      <c r="W247" s="184">
        <f t="shared" ref="W247" si="628">R247-W$147</f>
        <v>-12246.10583050236</v>
      </c>
      <c r="Y247" s="195">
        <f t="shared" ref="Y247" si="629">O247-Y$230</f>
        <v>501189.785124799</v>
      </c>
      <c r="Z247" s="184">
        <f t="shared" ref="Z247" si="630">P247-Z$230</f>
        <v>-18019.835410632008</v>
      </c>
      <c r="AA247" s="184">
        <f t="shared" ref="AA247" si="631">Q247-AA$230</f>
        <v>-20083.228456588873</v>
      </c>
      <c r="AB247" s="184">
        <f t="shared" ref="AB247" si="632">R247-AB$230</f>
        <v>-20192.036555717383</v>
      </c>
      <c r="AC247" s="101"/>
      <c r="AD247" s="184">
        <f t="shared" ref="AD247" si="633">O247-AD$230</f>
        <v>-2452087.529283951</v>
      </c>
      <c r="AE247" s="184">
        <f t="shared" ref="AE247" si="634">P247-AE$230</f>
        <v>-377116.30454238201</v>
      </c>
      <c r="AF247" s="184">
        <f t="shared" ref="AF247" si="635">Q247-AF$230</f>
        <v>-307286.36330135207</v>
      </c>
      <c r="AG247" s="184">
        <f t="shared" ref="AG247" si="636">R247-AG$230</f>
        <v>-303283.348258944</v>
      </c>
    </row>
    <row r="248" spans="1:33" ht="28.8" x14ac:dyDescent="0.3">
      <c r="M248" s="210" t="s">
        <v>904</v>
      </c>
      <c r="N248" s="168"/>
      <c r="O248" s="195">
        <f t="shared" ref="O248:R250" si="637">O91*(O134+O138)</f>
        <v>773128.14523417572</v>
      </c>
      <c r="P248" s="184">
        <f t="shared" si="637"/>
        <v>8461.5754151824967</v>
      </c>
      <c r="Q248" s="184">
        <f t="shared" si="637"/>
        <v>487.13034292518455</v>
      </c>
      <c r="R248" s="184">
        <f t="shared" si="637"/>
        <v>32.732367348346088</v>
      </c>
      <c r="T248" s="195">
        <f t="shared" si="576"/>
        <v>667349.63403855078</v>
      </c>
      <c r="U248" s="184">
        <f t="shared" si="573"/>
        <v>-6474.8236989425041</v>
      </c>
      <c r="V248" s="184">
        <f t="shared" si="573"/>
        <v>-11931.733286693567</v>
      </c>
      <c r="W248" s="184">
        <f t="shared" si="573"/>
        <v>-12242.144886238535</v>
      </c>
      <c r="Y248" s="195">
        <f t="shared" si="577"/>
        <v>562179.76563355071</v>
      </c>
      <c r="Z248" s="184">
        <f t="shared" si="578"/>
        <v>-17188.172379942502</v>
      </c>
      <c r="AA248" s="184">
        <f t="shared" si="579"/>
        <v>-20027.379288843615</v>
      </c>
      <c r="AB248" s="184">
        <f t="shared" si="580"/>
        <v>-20188.075611453554</v>
      </c>
      <c r="AC248" s="101"/>
      <c r="AD248" s="184">
        <f t="shared" si="581"/>
        <v>-2391097.5487751989</v>
      </c>
      <c r="AE248" s="184">
        <f t="shared" si="575"/>
        <v>-376284.64151169249</v>
      </c>
      <c r="AF248" s="184">
        <f t="shared" si="575"/>
        <v>-307230.5141336068</v>
      </c>
      <c r="AG248" s="184">
        <f t="shared" si="575"/>
        <v>-303279.38731468021</v>
      </c>
    </row>
    <row r="249" spans="1:33" x14ac:dyDescent="0.3">
      <c r="A249" s="145"/>
      <c r="B249" s="145"/>
      <c r="C249" s="145"/>
      <c r="D249" s="145"/>
      <c r="E249" s="163"/>
      <c r="F249" s="181"/>
      <c r="G249" s="163"/>
      <c r="H249" s="145"/>
      <c r="I249" s="145"/>
      <c r="M249" s="210"/>
      <c r="N249" s="168"/>
      <c r="O249" s="195">
        <f t="shared" si="637"/>
        <v>816268.08995005221</v>
      </c>
      <c r="P249" s="184">
        <f t="shared" si="637"/>
        <v>9071.0172077105708</v>
      </c>
      <c r="Q249" s="184">
        <f t="shared" si="637"/>
        <v>528.82850546303962</v>
      </c>
      <c r="R249" s="184">
        <f t="shared" si="637"/>
        <v>35.711339038228537</v>
      </c>
      <c r="T249" s="195">
        <f t="shared" si="576"/>
        <v>710489.57875442714</v>
      </c>
      <c r="U249" s="184">
        <f t="shared" si="573"/>
        <v>-5865.38190641443</v>
      </c>
      <c r="V249" s="184">
        <f t="shared" si="573"/>
        <v>-11890.035124155711</v>
      </c>
      <c r="W249" s="184">
        <f t="shared" si="573"/>
        <v>-12239.165914548652</v>
      </c>
      <c r="Y249" s="195">
        <f t="shared" si="577"/>
        <v>605319.71034942719</v>
      </c>
      <c r="Z249" s="184">
        <f t="shared" si="578"/>
        <v>-16578.730587414429</v>
      </c>
      <c r="AA249" s="184">
        <f t="shared" si="579"/>
        <v>-19985.681126305761</v>
      </c>
      <c r="AB249" s="184">
        <f t="shared" si="580"/>
        <v>-20185.096639763673</v>
      </c>
      <c r="AC249" s="101"/>
      <c r="AD249" s="184">
        <f t="shared" si="581"/>
        <v>-2347957.6040593227</v>
      </c>
      <c r="AE249" s="184">
        <f t="shared" si="575"/>
        <v>-375675.1997191644</v>
      </c>
      <c r="AF249" s="184">
        <f t="shared" si="575"/>
        <v>-307188.81597106898</v>
      </c>
      <c r="AG249" s="184">
        <f t="shared" si="575"/>
        <v>-303276.40834299033</v>
      </c>
    </row>
    <row r="250" spans="1:33" x14ac:dyDescent="0.3">
      <c r="A250" s="146"/>
      <c r="B250" s="145"/>
      <c r="C250" s="145"/>
      <c r="D250" s="145"/>
      <c r="E250" s="356"/>
      <c r="F250" s="211"/>
      <c r="G250" s="211"/>
      <c r="H250" s="145"/>
      <c r="I250" s="145"/>
      <c r="M250" s="111"/>
      <c r="N250" s="8"/>
      <c r="O250" s="196">
        <f t="shared" si="637"/>
        <v>843072.00920327834</v>
      </c>
      <c r="P250" s="197">
        <f t="shared" si="637"/>
        <v>9475.4089623836044</v>
      </c>
      <c r="Q250" s="197">
        <f t="shared" si="637"/>
        <v>556.8490566942661</v>
      </c>
      <c r="R250" s="197">
        <f t="shared" si="637"/>
        <v>37.732589549562952</v>
      </c>
      <c r="T250" s="196">
        <f t="shared" si="576"/>
        <v>737293.49800765328</v>
      </c>
      <c r="U250" s="197">
        <f t="shared" si="573"/>
        <v>-5460.9901517413964</v>
      </c>
      <c r="V250" s="197">
        <f t="shared" si="573"/>
        <v>-11862.014572924485</v>
      </c>
      <c r="W250" s="197">
        <f t="shared" si="573"/>
        <v>-12237.144664037318</v>
      </c>
      <c r="Y250" s="196">
        <f t="shared" si="577"/>
        <v>632123.62960265332</v>
      </c>
      <c r="Z250" s="197">
        <f t="shared" si="578"/>
        <v>-16174.338832741396</v>
      </c>
      <c r="AA250" s="197">
        <f t="shared" si="579"/>
        <v>-19957.660575074533</v>
      </c>
      <c r="AB250" s="197">
        <f t="shared" si="580"/>
        <v>-20183.075389252339</v>
      </c>
      <c r="AC250" s="101"/>
      <c r="AD250" s="197">
        <f t="shared" si="581"/>
        <v>-2321153.6848060964</v>
      </c>
      <c r="AE250" s="197">
        <f t="shared" si="575"/>
        <v>-375270.80796449143</v>
      </c>
      <c r="AF250" s="197">
        <f t="shared" si="575"/>
        <v>-307160.79541983776</v>
      </c>
      <c r="AG250" s="197">
        <f t="shared" si="575"/>
        <v>-303274.38709247898</v>
      </c>
    </row>
    <row r="251" spans="1:33" s="217" customFormat="1" x14ac:dyDescent="0.3">
      <c r="A251" s="146"/>
      <c r="B251" s="145"/>
      <c r="C251" s="145"/>
      <c r="D251" s="145"/>
      <c r="E251" s="356"/>
      <c r="F251" s="211"/>
      <c r="G251" s="211"/>
      <c r="H251" s="145"/>
      <c r="I251" s="145"/>
      <c r="M251" s="237"/>
      <c r="N251" s="207"/>
      <c r="O251" s="184">
        <f>O94*(O133+O137)</f>
        <v>4084.9225510062565</v>
      </c>
      <c r="P251" s="184">
        <f t="shared" ref="P251:R251" si="638">P94*(P133+P137)</f>
        <v>43.766227826919646</v>
      </c>
      <c r="Q251" s="184">
        <f t="shared" si="638"/>
        <v>2.4738881941487216</v>
      </c>
      <c r="R251" s="184">
        <f t="shared" si="638"/>
        <v>0.16503684369706201</v>
      </c>
      <c r="T251" s="184">
        <f t="shared" ref="T251" si="639">O251-T$147</f>
        <v>-101693.58864461875</v>
      </c>
      <c r="U251" s="184">
        <f t="shared" ref="U251" si="640">P251-U$147</f>
        <v>-14892.632886298081</v>
      </c>
      <c r="V251" s="184">
        <f t="shared" ref="V251" si="641">Q251-V$147</f>
        <v>-12416.389741424602</v>
      </c>
      <c r="W251" s="184">
        <f t="shared" ref="W251" si="642">R251-W$147</f>
        <v>-12274.712216743184</v>
      </c>
      <c r="Y251" s="184">
        <f t="shared" ref="Y251" si="643">O251-Y$230</f>
        <v>-206863.45704961874</v>
      </c>
      <c r="Z251" s="184">
        <f t="shared" ref="Z251" si="644">P251-Z$230</f>
        <v>-25605.98156729808</v>
      </c>
      <c r="AA251" s="184">
        <f t="shared" ref="AA251" si="645">Q251-AA$230</f>
        <v>-20512.035743574652</v>
      </c>
      <c r="AB251" s="184">
        <f t="shared" ref="AB251" si="646">R251-AB$230</f>
        <v>-20220.642941958205</v>
      </c>
      <c r="AC251" s="101"/>
      <c r="AD251" s="184">
        <f t="shared" ref="AD251" si="647">O251-AD$230</f>
        <v>-3160140.7714583687</v>
      </c>
      <c r="AE251" s="184">
        <f t="shared" ref="AE251" si="648">P251-AE$230</f>
        <v>-384702.45069904806</v>
      </c>
      <c r="AF251" s="184">
        <f t="shared" ref="AF251" si="649">Q251-AF$230</f>
        <v>-307715.17058833787</v>
      </c>
      <c r="AG251" s="184">
        <f t="shared" ref="AG251" si="650">R251-AG$230</f>
        <v>-303311.95464518486</v>
      </c>
    </row>
    <row r="252" spans="1:33" x14ac:dyDescent="0.3">
      <c r="A252" s="145"/>
      <c r="B252" s="145"/>
      <c r="C252" s="145"/>
      <c r="D252" s="145"/>
      <c r="E252" s="356"/>
      <c r="F252" s="211"/>
      <c r="G252" s="211"/>
      <c r="H252" s="145"/>
      <c r="I252" s="145"/>
      <c r="M252" s="210" t="s">
        <v>825</v>
      </c>
      <c r="N252" s="168"/>
      <c r="O252" s="184">
        <f t="shared" ref="O252:R254" si="651">O95*(O134+O138)</f>
        <v>4434.7694755306456</v>
      </c>
      <c r="P252" s="184">
        <f t="shared" si="651"/>
        <v>48.536761463761927</v>
      </c>
      <c r="Q252" s="184">
        <f t="shared" si="651"/>
        <v>2.7942467089398728</v>
      </c>
      <c r="R252" s="184">
        <f t="shared" si="651"/>
        <v>0.18775736528688006</v>
      </c>
      <c r="T252" s="184">
        <f t="shared" si="576"/>
        <v>-101343.74172009436</v>
      </c>
      <c r="U252" s="184">
        <f t="shared" si="573"/>
        <v>-14887.862352661239</v>
      </c>
      <c r="V252" s="184">
        <f t="shared" si="573"/>
        <v>-12416.069382909811</v>
      </c>
      <c r="W252" s="184">
        <f t="shared" si="573"/>
        <v>-12274.689496221594</v>
      </c>
      <c r="Y252" s="184">
        <f t="shared" si="577"/>
        <v>-206513.61012509433</v>
      </c>
      <c r="Z252" s="184">
        <f t="shared" si="578"/>
        <v>-25601.211033661239</v>
      </c>
      <c r="AA252" s="184">
        <f t="shared" si="579"/>
        <v>-20511.715385059859</v>
      </c>
      <c r="AB252" s="184">
        <f t="shared" si="580"/>
        <v>-20220.620221436617</v>
      </c>
      <c r="AC252" s="101"/>
      <c r="AD252" s="184">
        <f t="shared" si="581"/>
        <v>-3159790.924533844</v>
      </c>
      <c r="AE252" s="184">
        <f t="shared" si="575"/>
        <v>-384697.68016541126</v>
      </c>
      <c r="AF252" s="184">
        <f t="shared" si="575"/>
        <v>-307714.85022982309</v>
      </c>
      <c r="AG252" s="184">
        <f t="shared" si="575"/>
        <v>-303311.93192466325</v>
      </c>
    </row>
    <row r="253" spans="1:33" x14ac:dyDescent="0.3">
      <c r="A253" s="145"/>
      <c r="B253" s="145"/>
      <c r="C253" s="145"/>
      <c r="D253" s="145"/>
      <c r="E253" s="356"/>
      <c r="F253" s="211"/>
      <c r="G253" s="211"/>
      <c r="H253" s="145"/>
      <c r="I253" s="145"/>
      <c r="M253" s="209" t="s">
        <v>900</v>
      </c>
      <c r="N253" s="168"/>
      <c r="O253" s="184">
        <f t="shared" si="651"/>
        <v>4682.2261373807969</v>
      </c>
      <c r="P253" s="184">
        <f t="shared" si="651"/>
        <v>52.032603485911494</v>
      </c>
      <c r="Q253" s="184">
        <f t="shared" si="651"/>
        <v>3.0334331097306282</v>
      </c>
      <c r="R253" s="184">
        <f t="shared" si="651"/>
        <v>0.20484515700704706</v>
      </c>
      <c r="T253" s="184">
        <f t="shared" si="576"/>
        <v>-101096.2850582442</v>
      </c>
      <c r="U253" s="184">
        <f t="shared" ref="U253:U254" si="652">P253-U$147</f>
        <v>-14884.366510639089</v>
      </c>
      <c r="V253" s="184">
        <f t="shared" ref="V253:V254" si="653">Q253-V$147</f>
        <v>-12415.83019650902</v>
      </c>
      <c r="W253" s="184">
        <f t="shared" ref="W253:W254" si="654">R253-W$147</f>
        <v>-12274.672408429875</v>
      </c>
      <c r="Y253" s="184">
        <f t="shared" si="577"/>
        <v>-206266.15346324421</v>
      </c>
      <c r="Z253" s="184">
        <f t="shared" si="578"/>
        <v>-25597.71519163909</v>
      </c>
      <c r="AA253" s="184">
        <f t="shared" si="579"/>
        <v>-20511.476198659071</v>
      </c>
      <c r="AB253" s="184">
        <f t="shared" si="580"/>
        <v>-20220.603133644894</v>
      </c>
      <c r="AC253" s="101"/>
      <c r="AD253" s="184">
        <f t="shared" si="581"/>
        <v>-3159543.4678719942</v>
      </c>
      <c r="AE253" s="184">
        <f t="shared" ref="AE253:AE254" si="655">P253-AE$230</f>
        <v>-384694.18432338908</v>
      </c>
      <c r="AF253" s="184">
        <f t="shared" ref="AF253:AF254" si="656">Q253-AF$230</f>
        <v>-307714.61104342225</v>
      </c>
      <c r="AG253" s="184">
        <f t="shared" ref="AG253:AG254" si="657">R253-AG$230</f>
        <v>-303311.91483687155</v>
      </c>
    </row>
    <row r="254" spans="1:33" x14ac:dyDescent="0.3">
      <c r="A254" s="145"/>
      <c r="B254" s="145"/>
      <c r="C254" s="145"/>
      <c r="D254" s="145"/>
      <c r="E254" s="356"/>
      <c r="F254" s="211"/>
      <c r="G254" s="211"/>
      <c r="H254" s="145"/>
      <c r="I254" s="145"/>
      <c r="M254" s="8"/>
      <c r="N254" s="8"/>
      <c r="O254" s="184">
        <f t="shared" si="651"/>
        <v>4835.9771082406023</v>
      </c>
      <c r="P254" s="184">
        <f t="shared" si="651"/>
        <v>54.352250262238655</v>
      </c>
      <c r="Q254" s="184">
        <f t="shared" si="651"/>
        <v>3.1941628491066885</v>
      </c>
      <c r="R254" s="184">
        <f t="shared" si="651"/>
        <v>0.21643932820016987</v>
      </c>
      <c r="T254" s="197">
        <f t="shared" si="576"/>
        <v>-100942.5340873844</v>
      </c>
      <c r="U254" s="197">
        <f t="shared" si="652"/>
        <v>-14882.046863862763</v>
      </c>
      <c r="V254" s="197">
        <f t="shared" si="653"/>
        <v>-12415.669466769645</v>
      </c>
      <c r="W254" s="197">
        <f t="shared" si="654"/>
        <v>-12274.660814258681</v>
      </c>
      <c r="Y254" s="184">
        <f t="shared" si="577"/>
        <v>-206112.4024923844</v>
      </c>
      <c r="Z254" s="184">
        <f t="shared" si="578"/>
        <v>-25595.39554486276</v>
      </c>
      <c r="AA254" s="184">
        <f t="shared" si="579"/>
        <v>-20511.315468919693</v>
      </c>
      <c r="AB254" s="184">
        <f t="shared" si="580"/>
        <v>-20220.591539473702</v>
      </c>
      <c r="AC254" s="101"/>
      <c r="AD254" s="184">
        <f t="shared" si="581"/>
        <v>-3159389.7169011342</v>
      </c>
      <c r="AE254" s="184">
        <f t="shared" si="655"/>
        <v>-384691.86467661278</v>
      </c>
      <c r="AF254" s="184">
        <f t="shared" si="656"/>
        <v>-307714.4503136829</v>
      </c>
      <c r="AG254" s="184">
        <f t="shared" si="657"/>
        <v>-303311.90324270033</v>
      </c>
    </row>
    <row r="255" spans="1:33" x14ac:dyDescent="0.3">
      <c r="A255" s="145"/>
      <c r="B255" s="145"/>
      <c r="C255" s="145"/>
      <c r="D255" s="145"/>
      <c r="E255" s="145"/>
      <c r="F255" s="211"/>
      <c r="G255" s="211"/>
      <c r="H255" s="145"/>
      <c r="I255" s="145"/>
      <c r="O255" s="101"/>
    </row>
    <row r="256" spans="1:33" x14ac:dyDescent="0.3">
      <c r="A256" s="146"/>
      <c r="B256" s="145"/>
      <c r="C256" s="145"/>
      <c r="D256" s="145"/>
      <c r="E256" s="356"/>
      <c r="F256" s="211"/>
      <c r="G256" s="211"/>
      <c r="H256" s="145"/>
      <c r="I256" s="145"/>
    </row>
    <row r="257" spans="1:9" x14ac:dyDescent="0.3">
      <c r="A257" s="145"/>
      <c r="B257" s="145"/>
      <c r="C257" s="145"/>
      <c r="D257" s="145"/>
      <c r="E257" s="356"/>
      <c r="F257" s="211"/>
      <c r="G257" s="211"/>
      <c r="H257" s="145"/>
      <c r="I257" s="145"/>
    </row>
    <row r="258" spans="1:9" x14ac:dyDescent="0.3">
      <c r="A258" s="145"/>
      <c r="B258" s="145"/>
      <c r="C258" s="145"/>
      <c r="D258" s="145"/>
      <c r="E258" s="356"/>
      <c r="F258" s="211"/>
      <c r="G258" s="211"/>
      <c r="H258" s="145"/>
      <c r="I258" s="145"/>
    </row>
    <row r="259" spans="1:9" x14ac:dyDescent="0.3">
      <c r="A259" s="145"/>
      <c r="B259" s="145"/>
      <c r="C259" s="145"/>
      <c r="D259" s="145"/>
      <c r="E259" s="356"/>
      <c r="F259" s="211"/>
      <c r="G259" s="211"/>
      <c r="H259" s="145"/>
      <c r="I259" s="145"/>
    </row>
    <row r="260" spans="1:9" x14ac:dyDescent="0.3">
      <c r="A260" s="145"/>
      <c r="B260" s="145"/>
      <c r="C260" s="145"/>
      <c r="D260" s="145"/>
      <c r="E260" s="145"/>
      <c r="F260" s="211"/>
      <c r="G260" s="211"/>
      <c r="H260" s="145"/>
      <c r="I260" s="145"/>
    </row>
    <row r="261" spans="1:9" x14ac:dyDescent="0.3">
      <c r="A261" s="146"/>
      <c r="B261" s="145"/>
      <c r="C261" s="145"/>
      <c r="D261" s="145"/>
      <c r="E261" s="356"/>
      <c r="F261" s="211"/>
      <c r="G261" s="211"/>
      <c r="H261" s="145"/>
      <c r="I261" s="145"/>
    </row>
    <row r="262" spans="1:9" x14ac:dyDescent="0.3">
      <c r="A262" s="145"/>
      <c r="B262" s="145"/>
      <c r="C262" s="145"/>
      <c r="D262" s="145"/>
      <c r="E262" s="356"/>
      <c r="F262" s="211"/>
      <c r="G262" s="211"/>
      <c r="H262" s="145"/>
      <c r="I262" s="145"/>
    </row>
    <row r="263" spans="1:9" x14ac:dyDescent="0.3">
      <c r="A263" s="145"/>
      <c r="B263" s="145"/>
      <c r="C263" s="145"/>
      <c r="D263" s="145"/>
      <c r="E263" s="356"/>
      <c r="F263" s="211"/>
      <c r="G263" s="211"/>
      <c r="H263" s="145"/>
      <c r="I263" s="145"/>
    </row>
    <row r="264" spans="1:9" x14ac:dyDescent="0.3">
      <c r="A264" s="145"/>
      <c r="B264" s="145"/>
      <c r="C264" s="145"/>
      <c r="D264" s="145"/>
      <c r="E264" s="356"/>
      <c r="F264" s="211"/>
      <c r="G264" s="211"/>
      <c r="H264" s="145"/>
      <c r="I264" s="145"/>
    </row>
    <row r="265" spans="1:9" x14ac:dyDescent="0.3">
      <c r="A265" s="145"/>
      <c r="B265" s="145"/>
      <c r="C265" s="145"/>
      <c r="D265" s="145"/>
      <c r="E265" s="145"/>
      <c r="F265" s="145"/>
      <c r="G265" s="145"/>
      <c r="H265" s="145"/>
      <c r="I265" s="145"/>
    </row>
    <row r="266" spans="1:9" x14ac:dyDescent="0.3">
      <c r="A266" s="145"/>
      <c r="B266" s="145"/>
      <c r="C266" s="145"/>
      <c r="D266" s="145"/>
      <c r="E266" s="145"/>
      <c r="F266" s="145"/>
      <c r="G266" s="145"/>
      <c r="H266" s="145"/>
      <c r="I266" s="145"/>
    </row>
    <row r="267" spans="1:9" x14ac:dyDescent="0.3">
      <c r="A267" s="145"/>
      <c r="B267" s="145"/>
      <c r="C267" s="145"/>
      <c r="D267" s="145"/>
      <c r="E267" s="145"/>
      <c r="F267" s="145"/>
      <c r="G267" s="145"/>
      <c r="H267" s="145"/>
      <c r="I267" s="145"/>
    </row>
    <row r="268" spans="1:9" s="210" customFormat="1" x14ac:dyDescent="0.3">
      <c r="A268" s="79"/>
      <c r="B268" s="79"/>
      <c r="C268" s="79"/>
      <c r="D268" s="79"/>
      <c r="E268" s="181"/>
      <c r="F268" s="181"/>
      <c r="G268" s="181"/>
      <c r="H268" s="181"/>
      <c r="I268" s="181"/>
    </row>
    <row r="269" spans="1:9" x14ac:dyDescent="0.3">
      <c r="A269" s="146"/>
      <c r="B269" s="145"/>
      <c r="C269" s="145"/>
      <c r="D269" s="145"/>
      <c r="E269" s="356"/>
      <c r="F269" s="357"/>
      <c r="G269" s="358"/>
      <c r="H269" s="358"/>
      <c r="I269" s="359"/>
    </row>
    <row r="270" spans="1:9" x14ac:dyDescent="0.3">
      <c r="A270" s="145"/>
      <c r="B270" s="145"/>
      <c r="C270" s="145"/>
      <c r="D270" s="145"/>
      <c r="E270" s="356"/>
      <c r="F270" s="357"/>
      <c r="G270" s="358"/>
      <c r="H270" s="358"/>
      <c r="I270" s="359"/>
    </row>
    <row r="271" spans="1:9" x14ac:dyDescent="0.3">
      <c r="A271" s="145"/>
      <c r="B271" s="145"/>
      <c r="C271" s="145"/>
      <c r="D271" s="145"/>
      <c r="E271" s="356"/>
      <c r="F271" s="357"/>
      <c r="G271" s="358"/>
      <c r="H271" s="358"/>
      <c r="I271" s="359"/>
    </row>
    <row r="272" spans="1:9" x14ac:dyDescent="0.3">
      <c r="A272" s="145"/>
      <c r="B272" s="145"/>
      <c r="C272" s="145"/>
      <c r="D272" s="145"/>
      <c r="E272" s="356"/>
      <c r="F272" s="357"/>
      <c r="G272" s="358"/>
      <c r="H272" s="358"/>
      <c r="I272" s="359"/>
    </row>
    <row r="273" spans="1:9" x14ac:dyDescent="0.3">
      <c r="A273" s="145"/>
      <c r="B273" s="145"/>
      <c r="C273" s="145"/>
      <c r="D273" s="145"/>
      <c r="E273" s="145"/>
      <c r="F273" s="360"/>
      <c r="G273" s="145"/>
      <c r="H273" s="145"/>
      <c r="I273" s="145"/>
    </row>
    <row r="274" spans="1:9" x14ac:dyDescent="0.3">
      <c r="A274" s="146"/>
      <c r="B274" s="145"/>
      <c r="C274" s="145"/>
      <c r="D274" s="145"/>
      <c r="E274" s="356"/>
      <c r="F274" s="357"/>
      <c r="G274" s="358"/>
      <c r="H274" s="358"/>
      <c r="I274" s="359"/>
    </row>
    <row r="275" spans="1:9" x14ac:dyDescent="0.3">
      <c r="A275" s="145"/>
      <c r="B275" s="145"/>
      <c r="C275" s="145"/>
      <c r="D275" s="145"/>
      <c r="E275" s="356"/>
      <c r="F275" s="357"/>
      <c r="G275" s="358"/>
      <c r="H275" s="358"/>
      <c r="I275" s="359"/>
    </row>
    <row r="276" spans="1:9" x14ac:dyDescent="0.3">
      <c r="A276" s="145"/>
      <c r="B276" s="145"/>
      <c r="C276" s="145"/>
      <c r="D276" s="145"/>
      <c r="E276" s="356"/>
      <c r="F276" s="357"/>
      <c r="G276" s="358"/>
      <c r="H276" s="358"/>
      <c r="I276" s="359"/>
    </row>
    <row r="277" spans="1:9" x14ac:dyDescent="0.3">
      <c r="A277" s="145"/>
      <c r="B277" s="145"/>
      <c r="C277" s="145"/>
      <c r="D277" s="145"/>
      <c r="E277" s="356"/>
      <c r="F277" s="357"/>
      <c r="G277" s="358"/>
      <c r="H277" s="358"/>
      <c r="I277" s="359"/>
    </row>
    <row r="278" spans="1:9" x14ac:dyDescent="0.3">
      <c r="A278" s="145"/>
      <c r="B278" s="145"/>
      <c r="C278" s="145"/>
      <c r="D278" s="145"/>
      <c r="E278" s="145"/>
      <c r="F278" s="360"/>
      <c r="G278" s="145"/>
      <c r="H278" s="145"/>
      <c r="I278" s="145"/>
    </row>
    <row r="279" spans="1:9" x14ac:dyDescent="0.3">
      <c r="A279" s="146"/>
      <c r="B279" s="145"/>
      <c r="C279" s="145"/>
      <c r="D279" s="145"/>
      <c r="E279" s="356"/>
      <c r="F279" s="357"/>
      <c r="G279" s="358"/>
      <c r="H279" s="358"/>
      <c r="I279" s="359"/>
    </row>
    <row r="280" spans="1:9" x14ac:dyDescent="0.3">
      <c r="A280" s="145"/>
      <c r="B280" s="145"/>
      <c r="C280" s="145"/>
      <c r="D280" s="145"/>
      <c r="E280" s="356"/>
      <c r="F280" s="357"/>
      <c r="G280" s="358"/>
      <c r="H280" s="358"/>
      <c r="I280" s="359"/>
    </row>
    <row r="281" spans="1:9" x14ac:dyDescent="0.3">
      <c r="A281" s="145"/>
      <c r="B281" s="145"/>
      <c r="C281" s="145"/>
      <c r="D281" s="145"/>
      <c r="E281" s="356"/>
      <c r="F281" s="357"/>
      <c r="G281" s="358"/>
      <c r="H281" s="358"/>
      <c r="I281" s="359"/>
    </row>
    <row r="282" spans="1:9" x14ac:dyDescent="0.3">
      <c r="A282" s="145"/>
      <c r="B282" s="145"/>
      <c r="C282" s="145"/>
      <c r="D282" s="145"/>
      <c r="E282" s="356"/>
      <c r="F282" s="357"/>
      <c r="G282" s="358"/>
      <c r="H282" s="358"/>
      <c r="I282" s="359"/>
    </row>
    <row r="283" spans="1:9" x14ac:dyDescent="0.3">
      <c r="A283" s="145"/>
      <c r="B283" s="145"/>
      <c r="C283" s="145"/>
      <c r="D283" s="145"/>
      <c r="E283" s="145"/>
      <c r="F283" s="145"/>
      <c r="G283" s="145"/>
      <c r="H283" s="145"/>
      <c r="I283" s="145"/>
    </row>
    <row r="284" spans="1:9" x14ac:dyDescent="0.3">
      <c r="A284" s="145"/>
      <c r="B284" s="145"/>
      <c r="C284" s="145"/>
      <c r="D284" s="145"/>
      <c r="E284" s="145"/>
      <c r="F284" s="145"/>
      <c r="G284" s="145"/>
      <c r="H284" s="145"/>
      <c r="I284" s="145"/>
    </row>
    <row r="285" spans="1:9" x14ac:dyDescent="0.3">
      <c r="A285" s="145"/>
      <c r="B285" s="145"/>
      <c r="C285" s="145"/>
      <c r="D285" s="145"/>
      <c r="E285" s="145"/>
      <c r="F285" s="145"/>
      <c r="G285" s="145"/>
      <c r="H285" s="145"/>
      <c r="I285" s="145"/>
    </row>
    <row r="286" spans="1:9" x14ac:dyDescent="0.3">
      <c r="A286" s="79"/>
      <c r="B286" s="79"/>
      <c r="C286" s="79"/>
      <c r="D286" s="79"/>
      <c r="E286" s="181"/>
      <c r="F286" s="181"/>
      <c r="G286" s="181"/>
      <c r="H286" s="181"/>
      <c r="I286" s="181"/>
    </row>
    <row r="287" spans="1:9" x14ac:dyDescent="0.3">
      <c r="A287" s="146"/>
      <c r="B287" s="145"/>
      <c r="C287" s="145"/>
      <c r="D287" s="145"/>
      <c r="E287" s="356"/>
      <c r="F287" s="357"/>
      <c r="G287" s="358"/>
      <c r="H287" s="358"/>
      <c r="I287" s="359"/>
    </row>
    <row r="288" spans="1:9" x14ac:dyDescent="0.3">
      <c r="A288" s="145"/>
      <c r="B288" s="145"/>
      <c r="C288" s="145"/>
      <c r="D288" s="145"/>
      <c r="E288" s="356"/>
      <c r="F288" s="357"/>
      <c r="G288" s="358"/>
      <c r="H288" s="358"/>
      <c r="I288" s="359"/>
    </row>
    <row r="289" spans="1:9" x14ac:dyDescent="0.3">
      <c r="A289" s="145"/>
      <c r="B289" s="145"/>
      <c r="C289" s="145"/>
      <c r="D289" s="145"/>
      <c r="E289" s="356"/>
      <c r="F289" s="357"/>
      <c r="G289" s="358"/>
      <c r="H289" s="358"/>
      <c r="I289" s="359"/>
    </row>
    <row r="290" spans="1:9" x14ac:dyDescent="0.3">
      <c r="A290" s="145"/>
      <c r="B290" s="145"/>
      <c r="C290" s="145"/>
      <c r="D290" s="145"/>
      <c r="E290" s="356"/>
      <c r="F290" s="357"/>
      <c r="G290" s="358"/>
      <c r="H290" s="358"/>
      <c r="I290" s="359"/>
    </row>
    <row r="291" spans="1:9" x14ac:dyDescent="0.3">
      <c r="A291" s="145"/>
      <c r="B291" s="145"/>
      <c r="C291" s="145"/>
      <c r="D291" s="145"/>
      <c r="E291" s="145"/>
      <c r="F291" s="360"/>
      <c r="G291" s="145"/>
      <c r="H291" s="145"/>
      <c r="I291" s="145"/>
    </row>
    <row r="292" spans="1:9" x14ac:dyDescent="0.3">
      <c r="A292" s="146"/>
      <c r="B292" s="145"/>
      <c r="C292" s="145"/>
      <c r="D292" s="145"/>
      <c r="E292" s="356"/>
      <c r="F292" s="357"/>
      <c r="G292" s="358"/>
      <c r="H292" s="358"/>
      <c r="I292" s="359"/>
    </row>
    <row r="293" spans="1:9" x14ac:dyDescent="0.3">
      <c r="A293" s="145"/>
      <c r="B293" s="145"/>
      <c r="C293" s="145"/>
      <c r="D293" s="145"/>
      <c r="E293" s="356"/>
      <c r="F293" s="357"/>
      <c r="G293" s="358"/>
      <c r="H293" s="358"/>
      <c r="I293" s="359"/>
    </row>
    <row r="294" spans="1:9" x14ac:dyDescent="0.3">
      <c r="A294" s="145"/>
      <c r="B294" s="145"/>
      <c r="C294" s="145"/>
      <c r="D294" s="145"/>
      <c r="E294" s="356"/>
      <c r="F294" s="357"/>
      <c r="G294" s="358"/>
      <c r="H294" s="358"/>
      <c r="I294" s="359"/>
    </row>
    <row r="295" spans="1:9" x14ac:dyDescent="0.3">
      <c r="A295" s="145"/>
      <c r="B295" s="145"/>
      <c r="C295" s="145"/>
      <c r="D295" s="145"/>
      <c r="E295" s="356"/>
      <c r="F295" s="357"/>
      <c r="G295" s="358"/>
      <c r="H295" s="358"/>
      <c r="I295" s="359"/>
    </row>
    <row r="296" spans="1:9" x14ac:dyDescent="0.3">
      <c r="A296" s="145"/>
      <c r="B296" s="145"/>
      <c r="C296" s="145"/>
      <c r="D296" s="145"/>
      <c r="E296" s="145"/>
      <c r="F296" s="360"/>
      <c r="G296" s="145"/>
      <c r="H296" s="145"/>
      <c r="I296" s="145"/>
    </row>
    <row r="297" spans="1:9" x14ac:dyDescent="0.3">
      <c r="A297" s="146"/>
      <c r="B297" s="145"/>
      <c r="C297" s="145"/>
      <c r="D297" s="145"/>
      <c r="E297" s="356"/>
      <c r="F297" s="357"/>
      <c r="G297" s="358"/>
      <c r="H297" s="358"/>
      <c r="I297" s="359"/>
    </row>
    <row r="298" spans="1:9" x14ac:dyDescent="0.3">
      <c r="A298" s="145"/>
      <c r="B298" s="145"/>
      <c r="C298" s="145"/>
      <c r="D298" s="145"/>
      <c r="E298" s="356"/>
      <c r="F298" s="357"/>
      <c r="G298" s="358"/>
      <c r="H298" s="358"/>
      <c r="I298" s="359"/>
    </row>
    <row r="299" spans="1:9" x14ac:dyDescent="0.3">
      <c r="A299" s="145"/>
      <c r="B299" s="145"/>
      <c r="C299" s="145"/>
      <c r="D299" s="145"/>
      <c r="E299" s="356"/>
      <c r="F299" s="357"/>
      <c r="G299" s="358"/>
      <c r="H299" s="358"/>
      <c r="I299" s="359"/>
    </row>
    <row r="300" spans="1:9" x14ac:dyDescent="0.3">
      <c r="A300" s="145"/>
      <c r="B300" s="145"/>
      <c r="C300" s="145"/>
      <c r="D300" s="145"/>
      <c r="E300" s="356"/>
      <c r="F300" s="357"/>
      <c r="G300" s="358"/>
      <c r="H300" s="358"/>
      <c r="I300" s="359"/>
    </row>
  </sheetData>
  <mergeCells count="3">
    <mergeCell ref="E71:H71"/>
    <mergeCell ref="O72:R72"/>
    <mergeCell ref="O106:R106"/>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271C9-1501-4B3C-96E7-D9C7D162B05B}">
  <dimension ref="A1:BB201"/>
  <sheetViews>
    <sheetView topLeftCell="AF41" workbookViewId="0">
      <selection activeCell="AV45" sqref="AV45:AY45"/>
    </sheetView>
  </sheetViews>
  <sheetFormatPr defaultRowHeight="14.4" x14ac:dyDescent="0.3"/>
  <cols>
    <col min="1" max="1" width="46.33203125" style="221" customWidth="1"/>
    <col min="2" max="2" width="4" style="221" customWidth="1"/>
    <col min="3" max="3" width="25.109375" style="221" customWidth="1"/>
    <col min="4" max="4" width="30.33203125" style="221" customWidth="1"/>
    <col min="5" max="5" width="28.21875" style="221" customWidth="1"/>
    <col min="6" max="6" width="29" style="221" customWidth="1"/>
    <col min="7" max="7" width="17.109375" style="221" customWidth="1"/>
    <col min="8" max="8" width="2.33203125" style="221" customWidth="1"/>
    <col min="9" max="13" width="21.109375" style="221" customWidth="1"/>
    <col min="14" max="14" width="43.6640625" style="221" customWidth="1"/>
    <col min="15" max="18" width="23.88671875" style="221" customWidth="1"/>
    <col min="19" max="16384" width="8.88671875" style="221"/>
  </cols>
  <sheetData>
    <row r="1" spans="1:18" x14ac:dyDescent="0.3">
      <c r="A1" s="86" t="s">
        <v>950</v>
      </c>
      <c r="D1" s="221" t="s">
        <v>870</v>
      </c>
    </row>
    <row r="2" spans="1:18" x14ac:dyDescent="0.3">
      <c r="D2" s="221">
        <v>85530.06</v>
      </c>
      <c r="E2" s="221">
        <v>85530.06</v>
      </c>
      <c r="F2" s="221">
        <v>1368480.96</v>
      </c>
      <c r="G2" s="221">
        <v>1368480.96</v>
      </c>
    </row>
    <row r="3" spans="1:18" x14ac:dyDescent="0.3">
      <c r="A3" s="86" t="s">
        <v>741</v>
      </c>
      <c r="D3" s="221" t="s">
        <v>871</v>
      </c>
    </row>
    <row r="4" spans="1:18" x14ac:dyDescent="0.3">
      <c r="A4" s="86" t="s">
        <v>737</v>
      </c>
      <c r="D4" s="221">
        <v>27878400</v>
      </c>
      <c r="E4" s="221">
        <v>27878400</v>
      </c>
      <c r="F4" s="221">
        <v>27878400</v>
      </c>
      <c r="G4" s="221">
        <v>27878400</v>
      </c>
    </row>
    <row r="5" spans="1:18" x14ac:dyDescent="0.3">
      <c r="C5" s="221" t="s">
        <v>868</v>
      </c>
      <c r="D5" s="221">
        <v>3.0679687499999999E-3</v>
      </c>
      <c r="E5" s="221">
        <v>3.0679687499999999E-3</v>
      </c>
      <c r="F5" s="221">
        <v>4.9087499999999999E-2</v>
      </c>
      <c r="G5" s="221">
        <v>4.9087499999999999E-2</v>
      </c>
      <c r="O5" s="254" t="s">
        <v>779</v>
      </c>
      <c r="P5" s="254"/>
      <c r="Q5" s="254"/>
      <c r="R5" s="254"/>
    </row>
    <row r="6" spans="1:18" x14ac:dyDescent="0.3">
      <c r="C6" s="221" t="s">
        <v>869</v>
      </c>
      <c r="D6" s="221">
        <v>3.3747656249999998</v>
      </c>
      <c r="E6" s="221">
        <v>0.30372890624999999</v>
      </c>
      <c r="F6" s="221">
        <v>0.4417875</v>
      </c>
      <c r="G6" s="221">
        <v>4.9087499999999999E-2</v>
      </c>
      <c r="O6" s="220"/>
      <c r="P6" s="220"/>
      <c r="Q6" s="220"/>
      <c r="R6" s="220"/>
    </row>
    <row r="7" spans="1:18" s="222" customFormat="1" ht="57.6" x14ac:dyDescent="0.3">
      <c r="D7" s="107" t="s">
        <v>861</v>
      </c>
      <c r="E7" s="107" t="s">
        <v>865</v>
      </c>
      <c r="F7" s="107" t="s">
        <v>862</v>
      </c>
      <c r="G7" s="107" t="s">
        <v>863</v>
      </c>
      <c r="I7" s="176" t="s">
        <v>1074</v>
      </c>
      <c r="J7" s="176" t="s">
        <v>1075</v>
      </c>
      <c r="K7" s="176" t="s">
        <v>1076</v>
      </c>
      <c r="L7" s="176" t="s">
        <v>1077</v>
      </c>
      <c r="M7" s="225"/>
      <c r="O7" s="107" t="s">
        <v>861</v>
      </c>
      <c r="P7" s="107" t="s">
        <v>865</v>
      </c>
      <c r="Q7" s="107" t="s">
        <v>862</v>
      </c>
      <c r="R7" s="107" t="s">
        <v>863</v>
      </c>
    </row>
    <row r="8" spans="1:18" x14ac:dyDescent="0.3">
      <c r="A8" s="221" t="s">
        <v>743</v>
      </c>
      <c r="D8" s="221" t="s">
        <v>751</v>
      </c>
      <c r="E8" s="221" t="s">
        <v>751</v>
      </c>
      <c r="F8" s="221" t="s">
        <v>746</v>
      </c>
      <c r="G8" s="221" t="s">
        <v>746</v>
      </c>
      <c r="I8" s="2" t="str">
        <f>D8</f>
        <v>30 or less (use 10)</v>
      </c>
      <c r="J8" s="2" t="str">
        <f t="shared" ref="J8:L12" si="0">E8</f>
        <v>30 or less (use 10)</v>
      </c>
      <c r="K8" s="2" t="str">
        <f t="shared" si="0"/>
        <v>100+ (use 300)</v>
      </c>
      <c r="L8" s="2" t="str">
        <f t="shared" si="0"/>
        <v>100+ (use 300)</v>
      </c>
      <c r="M8" s="2"/>
      <c r="O8" s="221" t="s">
        <v>751</v>
      </c>
      <c r="P8" s="221" t="s">
        <v>751</v>
      </c>
      <c r="Q8" s="221" t="s">
        <v>746</v>
      </c>
      <c r="R8" s="221" t="s">
        <v>746</v>
      </c>
    </row>
    <row r="9" spans="1:18" x14ac:dyDescent="0.3">
      <c r="A9" s="221" t="s">
        <v>745</v>
      </c>
      <c r="D9" s="221" t="s">
        <v>752</v>
      </c>
      <c r="E9" s="221" t="s">
        <v>752</v>
      </c>
      <c r="F9" s="221" t="s">
        <v>753</v>
      </c>
      <c r="G9" s="221" t="s">
        <v>753</v>
      </c>
      <c r="I9" s="2" t="str">
        <f t="shared" ref="I9:I12" si="1">D9</f>
        <v>32-36' (api 581) or 153-310' CFER</v>
      </c>
      <c r="J9" s="2" t="str">
        <f t="shared" si="0"/>
        <v>32-36' (api 581) or 153-310' CFER</v>
      </c>
      <c r="K9" s="2" t="str">
        <f t="shared" si="0"/>
        <v>153-198' (api 581) or 153-310' CFER</v>
      </c>
      <c r="L9" s="2" t="str">
        <f t="shared" si="0"/>
        <v>153-198' (api 581) or 153-310' CFER</v>
      </c>
      <c r="M9" s="2"/>
      <c r="O9" s="221" t="s">
        <v>752</v>
      </c>
      <c r="P9" s="221" t="s">
        <v>752</v>
      </c>
      <c r="Q9" s="221" t="s">
        <v>753</v>
      </c>
      <c r="R9" s="221" t="s">
        <v>753</v>
      </c>
    </row>
    <row r="10" spans="1:18" x14ac:dyDescent="0.3">
      <c r="A10" s="221" t="s">
        <v>756</v>
      </c>
      <c r="D10" s="221" t="s">
        <v>758</v>
      </c>
      <c r="E10" s="221" t="s">
        <v>758</v>
      </c>
      <c r="F10" s="221" t="s">
        <v>759</v>
      </c>
      <c r="G10" s="221" t="s">
        <v>759</v>
      </c>
      <c r="I10" s="2" t="str">
        <f t="shared" si="1"/>
        <v>2 (2*36 = 72)</v>
      </c>
      <c r="J10" s="2" t="str">
        <f t="shared" si="0"/>
        <v>2 (2*36 = 72)</v>
      </c>
      <c r="K10" s="2" t="str">
        <f t="shared" si="0"/>
        <v>2.5 (2.5*198=485)</v>
      </c>
      <c r="L10" s="2" t="str">
        <f t="shared" si="0"/>
        <v>2.5 (2.5*198=485)</v>
      </c>
      <c r="M10" s="2"/>
      <c r="O10" s="221" t="s">
        <v>758</v>
      </c>
      <c r="P10" s="221" t="s">
        <v>758</v>
      </c>
      <c r="Q10" s="221" t="s">
        <v>759</v>
      </c>
      <c r="R10" s="221" t="s">
        <v>759</v>
      </c>
    </row>
    <row r="11" spans="1:18" x14ac:dyDescent="0.3">
      <c r="A11" s="221" t="s">
        <v>755</v>
      </c>
      <c r="D11" s="221">
        <v>165</v>
      </c>
      <c r="E11" s="221">
        <v>165</v>
      </c>
      <c r="F11" s="221">
        <v>660</v>
      </c>
      <c r="G11" s="221">
        <v>660</v>
      </c>
      <c r="I11" s="221">
        <f t="shared" si="1"/>
        <v>165</v>
      </c>
      <c r="J11" s="221">
        <f t="shared" si="0"/>
        <v>165</v>
      </c>
      <c r="K11" s="221">
        <f t="shared" si="0"/>
        <v>660</v>
      </c>
      <c r="L11" s="221">
        <f t="shared" si="0"/>
        <v>660</v>
      </c>
      <c r="O11" s="221">
        <v>165</v>
      </c>
      <c r="P11" s="221">
        <v>165</v>
      </c>
      <c r="Q11" s="221">
        <v>660</v>
      </c>
      <c r="R11" s="221">
        <v>660</v>
      </c>
    </row>
    <row r="12" spans="1:18" x14ac:dyDescent="0.3">
      <c r="A12" s="221" t="s">
        <v>760</v>
      </c>
      <c r="D12" s="221">
        <v>1100</v>
      </c>
      <c r="E12" s="221">
        <v>99</v>
      </c>
      <c r="F12" s="221">
        <v>9</v>
      </c>
      <c r="G12" s="221">
        <v>1</v>
      </c>
      <c r="I12" s="221">
        <f t="shared" si="1"/>
        <v>1100</v>
      </c>
      <c r="J12" s="221">
        <f t="shared" si="0"/>
        <v>99</v>
      </c>
      <c r="K12" s="221">
        <f t="shared" si="0"/>
        <v>9</v>
      </c>
      <c r="L12" s="221">
        <f t="shared" si="0"/>
        <v>1</v>
      </c>
      <c r="O12" s="221">
        <v>1100</v>
      </c>
      <c r="P12" s="221">
        <v>99</v>
      </c>
      <c r="Q12" s="221">
        <v>9</v>
      </c>
      <c r="R12" s="221">
        <v>1</v>
      </c>
    </row>
    <row r="13" spans="1:18" x14ac:dyDescent="0.3">
      <c r="A13" s="221" t="s">
        <v>761</v>
      </c>
      <c r="D13" s="221">
        <v>3</v>
      </c>
      <c r="E13" s="221">
        <v>1</v>
      </c>
      <c r="F13" s="221">
        <v>1</v>
      </c>
      <c r="G13" s="221">
        <v>2E-3</v>
      </c>
      <c r="I13" s="221">
        <f>5+D13</f>
        <v>8</v>
      </c>
      <c r="J13" s="221">
        <f t="shared" ref="J13:L13" si="2">5+E13</f>
        <v>6</v>
      </c>
      <c r="K13" s="221">
        <f t="shared" si="2"/>
        <v>6</v>
      </c>
      <c r="L13" s="221">
        <f t="shared" si="2"/>
        <v>5.0019999999999998</v>
      </c>
      <c r="N13" s="221" t="s">
        <v>778</v>
      </c>
      <c r="O13" s="221">
        <v>3</v>
      </c>
      <c r="P13" s="221">
        <v>1</v>
      </c>
      <c r="Q13" s="221">
        <v>1</v>
      </c>
      <c r="R13" s="221">
        <v>2E-3</v>
      </c>
    </row>
    <row r="14" spans="1:18" x14ac:dyDescent="0.3">
      <c r="A14" s="206"/>
      <c r="B14" s="204"/>
      <c r="C14" s="204" t="s">
        <v>763</v>
      </c>
      <c r="D14" s="183">
        <v>19395000</v>
      </c>
      <c r="E14" s="183">
        <v>6465000</v>
      </c>
      <c r="F14" s="183">
        <v>6465000</v>
      </c>
      <c r="G14" s="183">
        <v>12930</v>
      </c>
      <c r="H14" s="101"/>
      <c r="I14" s="101">
        <f t="shared" ref="I14:L14" si="3">6.465*I13*1000000</f>
        <v>51720000</v>
      </c>
      <c r="J14" s="101">
        <f t="shared" si="3"/>
        <v>38790000</v>
      </c>
      <c r="K14" s="101">
        <f t="shared" si="3"/>
        <v>38790000</v>
      </c>
      <c r="L14" s="101">
        <f t="shared" si="3"/>
        <v>32337930</v>
      </c>
      <c r="M14" s="101"/>
      <c r="O14" s="101">
        <v>19395000</v>
      </c>
      <c r="P14" s="101">
        <v>6465000</v>
      </c>
      <c r="Q14" s="101">
        <v>6465000</v>
      </c>
      <c r="R14" s="101">
        <v>12930</v>
      </c>
    </row>
    <row r="15" spans="1:18" x14ac:dyDescent="0.3">
      <c r="O15" s="172" t="s">
        <v>780</v>
      </c>
      <c r="P15" s="173"/>
      <c r="Q15" s="173"/>
      <c r="R15" s="173"/>
    </row>
    <row r="16" spans="1:18" x14ac:dyDescent="0.3">
      <c r="A16" s="221" t="s">
        <v>744</v>
      </c>
      <c r="D16" s="221" t="s">
        <v>864</v>
      </c>
      <c r="E16" s="221" t="s">
        <v>864</v>
      </c>
      <c r="F16" s="221" t="s">
        <v>747</v>
      </c>
      <c r="G16" s="221" t="s">
        <v>747</v>
      </c>
      <c r="I16" s="2" t="s">
        <v>810</v>
      </c>
      <c r="J16" s="2" t="s">
        <v>809</v>
      </c>
      <c r="K16" s="2" t="s">
        <v>809</v>
      </c>
      <c r="L16" s="2" t="s">
        <v>809</v>
      </c>
      <c r="M16" s="2"/>
      <c r="O16" s="221" t="str">
        <f>D16</f>
        <v>use 300</v>
      </c>
      <c r="P16" s="251" t="str">
        <f t="shared" ref="P16:R19" si="4">E16</f>
        <v>use 300</v>
      </c>
      <c r="Q16" s="251" t="str">
        <f t="shared" si="4"/>
        <v>over 1000 (use 3000)</v>
      </c>
      <c r="R16" s="251" t="str">
        <f t="shared" si="4"/>
        <v>over 1000 (use 3000)</v>
      </c>
    </row>
    <row r="17" spans="1:18" x14ac:dyDescent="0.3">
      <c r="A17" s="221" t="s">
        <v>82</v>
      </c>
      <c r="D17" s="221">
        <v>4</v>
      </c>
      <c r="E17" s="221">
        <v>4</v>
      </c>
      <c r="F17" s="221">
        <v>5</v>
      </c>
      <c r="G17" s="221">
        <v>5</v>
      </c>
      <c r="I17" s="2" t="s">
        <v>809</v>
      </c>
      <c r="J17" s="2" t="s">
        <v>809</v>
      </c>
      <c r="K17" s="2" t="s">
        <v>809</v>
      </c>
      <c r="L17" s="2" t="s">
        <v>809</v>
      </c>
      <c r="M17" s="2"/>
      <c r="O17" s="251">
        <f t="shared" ref="O17:O19" si="5">D17</f>
        <v>4</v>
      </c>
      <c r="P17" s="251">
        <f t="shared" si="4"/>
        <v>4</v>
      </c>
      <c r="Q17" s="251">
        <f t="shared" si="4"/>
        <v>5</v>
      </c>
      <c r="R17" s="251">
        <f t="shared" si="4"/>
        <v>5</v>
      </c>
    </row>
    <row r="18" spans="1:18" x14ac:dyDescent="0.3">
      <c r="A18" s="221" t="s">
        <v>742</v>
      </c>
      <c r="D18" s="221">
        <v>1100</v>
      </c>
      <c r="E18" s="221">
        <v>99</v>
      </c>
      <c r="F18" s="221">
        <v>9</v>
      </c>
      <c r="G18" s="221">
        <v>0.9</v>
      </c>
      <c r="I18" s="2" t="s">
        <v>809</v>
      </c>
      <c r="J18" s="2" t="s">
        <v>809</v>
      </c>
      <c r="K18" s="2" t="s">
        <v>809</v>
      </c>
      <c r="L18" s="2" t="s">
        <v>809</v>
      </c>
      <c r="M18" s="2"/>
      <c r="O18" s="251">
        <f t="shared" si="5"/>
        <v>1100</v>
      </c>
      <c r="P18" s="251">
        <f t="shared" si="4"/>
        <v>99</v>
      </c>
      <c r="Q18" s="251">
        <f t="shared" si="4"/>
        <v>9</v>
      </c>
      <c r="R18" s="251">
        <f t="shared" si="4"/>
        <v>0.9</v>
      </c>
    </row>
    <row r="19" spans="1:18" x14ac:dyDescent="0.3">
      <c r="A19" s="221" t="s">
        <v>92</v>
      </c>
      <c r="D19" s="221">
        <v>5449</v>
      </c>
      <c r="E19" s="221">
        <v>54.5</v>
      </c>
      <c r="F19" s="221">
        <v>5.4</v>
      </c>
      <c r="G19" s="221">
        <v>0.5</v>
      </c>
      <c r="I19" s="2" t="s">
        <v>809</v>
      </c>
      <c r="J19" s="2" t="s">
        <v>809</v>
      </c>
      <c r="K19" s="2" t="s">
        <v>809</v>
      </c>
      <c r="L19" s="2" t="s">
        <v>809</v>
      </c>
      <c r="M19" s="2"/>
      <c r="O19" s="251">
        <f t="shared" si="5"/>
        <v>5449</v>
      </c>
      <c r="P19" s="251">
        <f t="shared" si="4"/>
        <v>54.5</v>
      </c>
      <c r="Q19" s="251">
        <f t="shared" si="4"/>
        <v>5.4</v>
      </c>
      <c r="R19" s="251">
        <f t="shared" si="4"/>
        <v>0.5</v>
      </c>
    </row>
    <row r="20" spans="1:18" x14ac:dyDescent="0.3">
      <c r="A20" s="206" t="s">
        <v>882</v>
      </c>
      <c r="B20" s="204"/>
      <c r="C20" s="204" t="s">
        <v>764</v>
      </c>
      <c r="D20" s="183">
        <v>990144018.42496002</v>
      </c>
      <c r="E20" s="183">
        <v>9903257.2956800014</v>
      </c>
      <c r="F20" s="183">
        <v>1226550.2155200001</v>
      </c>
      <c r="G20" s="183">
        <v>113569.46440000001</v>
      </c>
      <c r="I20" s="2" t="s">
        <v>809</v>
      </c>
      <c r="J20" s="2" t="s">
        <v>809</v>
      </c>
      <c r="K20" s="2" t="s">
        <v>809</v>
      </c>
      <c r="L20" s="2" t="s">
        <v>809</v>
      </c>
      <c r="M20" s="2"/>
      <c r="O20" s="101">
        <f>D20</f>
        <v>990144018.42496002</v>
      </c>
      <c r="P20" s="101">
        <f>E20</f>
        <v>9903257.2956800014</v>
      </c>
      <c r="Q20" s="101">
        <f>F20</f>
        <v>1226550.2155200001</v>
      </c>
      <c r="R20" s="101">
        <f>G20</f>
        <v>113569.46440000001</v>
      </c>
    </row>
    <row r="21" spans="1:18" x14ac:dyDescent="0.3">
      <c r="I21" s="221" t="s">
        <v>811</v>
      </c>
      <c r="O21" s="172" t="s">
        <v>780</v>
      </c>
      <c r="P21" s="173"/>
      <c r="Q21" s="173"/>
      <c r="R21" s="173"/>
    </row>
    <row r="22" spans="1:18" x14ac:dyDescent="0.3">
      <c r="A22" s="221" t="s">
        <v>500</v>
      </c>
    </row>
    <row r="23" spans="1:18" x14ac:dyDescent="0.3">
      <c r="A23" s="221" t="s">
        <v>546</v>
      </c>
      <c r="D23" s="101">
        <v>200000</v>
      </c>
      <c r="E23" s="101">
        <v>5000</v>
      </c>
      <c r="F23" s="101">
        <v>5000000</v>
      </c>
      <c r="G23" s="101">
        <v>200000</v>
      </c>
      <c r="I23" s="101">
        <f>0.13*D23</f>
        <v>26000</v>
      </c>
      <c r="J23" s="101">
        <f t="shared" ref="J23:L27" si="6">0.13*E23</f>
        <v>650</v>
      </c>
      <c r="K23" s="101">
        <f t="shared" si="6"/>
        <v>650000</v>
      </c>
      <c r="L23" s="101">
        <f t="shared" si="6"/>
        <v>26000</v>
      </c>
      <c r="M23" s="101"/>
      <c r="O23" s="101">
        <f>D23</f>
        <v>200000</v>
      </c>
      <c r="P23" s="101">
        <f>E23</f>
        <v>5000</v>
      </c>
      <c r="Q23" s="101">
        <f>F23</f>
        <v>5000000</v>
      </c>
      <c r="R23" s="101">
        <f>G23</f>
        <v>200000</v>
      </c>
    </row>
    <row r="24" spans="1:18" x14ac:dyDescent="0.3">
      <c r="A24" s="221" t="s">
        <v>555</v>
      </c>
      <c r="D24" s="101">
        <v>100000</v>
      </c>
      <c r="E24" s="101">
        <v>2000</v>
      </c>
      <c r="F24" s="101">
        <v>2000000</v>
      </c>
      <c r="G24" s="101">
        <v>200000</v>
      </c>
      <c r="I24" s="101">
        <f t="shared" ref="I24:I27" si="7">0.13*D24</f>
        <v>13000</v>
      </c>
      <c r="J24" s="101">
        <f t="shared" si="6"/>
        <v>260</v>
      </c>
      <c r="K24" s="101">
        <f t="shared" si="6"/>
        <v>260000</v>
      </c>
      <c r="L24" s="101">
        <f t="shared" si="6"/>
        <v>26000</v>
      </c>
      <c r="M24" s="101"/>
      <c r="O24" s="101">
        <f t="shared" ref="O24:R27" si="8">D24</f>
        <v>100000</v>
      </c>
      <c r="P24" s="101">
        <f t="shared" si="8"/>
        <v>2000</v>
      </c>
      <c r="Q24" s="101">
        <f t="shared" si="8"/>
        <v>2000000</v>
      </c>
      <c r="R24" s="101">
        <f t="shared" si="8"/>
        <v>200000</v>
      </c>
    </row>
    <row r="25" spans="1:18" x14ac:dyDescent="0.3">
      <c r="A25" s="221" t="s">
        <v>547</v>
      </c>
      <c r="D25" s="101">
        <v>20000000</v>
      </c>
      <c r="E25" s="101">
        <v>1000000</v>
      </c>
      <c r="F25" s="101">
        <v>2000000</v>
      </c>
      <c r="G25" s="101">
        <v>200000</v>
      </c>
      <c r="I25" s="101">
        <f t="shared" si="7"/>
        <v>2600000</v>
      </c>
      <c r="J25" s="101">
        <f t="shared" si="6"/>
        <v>130000</v>
      </c>
      <c r="K25" s="101">
        <f t="shared" si="6"/>
        <v>260000</v>
      </c>
      <c r="L25" s="101">
        <f t="shared" si="6"/>
        <v>26000</v>
      </c>
      <c r="M25" s="101"/>
      <c r="O25" s="101">
        <f t="shared" si="8"/>
        <v>20000000</v>
      </c>
      <c r="P25" s="101">
        <f t="shared" si="8"/>
        <v>1000000</v>
      </c>
      <c r="Q25" s="101">
        <f t="shared" si="8"/>
        <v>2000000</v>
      </c>
      <c r="R25" s="101">
        <f t="shared" si="8"/>
        <v>200000</v>
      </c>
    </row>
    <row r="26" spans="1:18" x14ac:dyDescent="0.3">
      <c r="A26" s="204" t="s">
        <v>548</v>
      </c>
      <c r="B26" s="206" t="s">
        <v>875</v>
      </c>
      <c r="C26" s="205"/>
      <c r="D26" s="183">
        <v>272130</v>
      </c>
      <c r="E26" s="183">
        <v>272130</v>
      </c>
      <c r="F26" s="183">
        <v>2721300</v>
      </c>
      <c r="G26" s="183">
        <v>2721300</v>
      </c>
      <c r="I26" s="101">
        <f>0.13*D26</f>
        <v>35376.9</v>
      </c>
      <c r="J26" s="101">
        <f t="shared" si="6"/>
        <v>35376.9</v>
      </c>
      <c r="K26" s="101">
        <f t="shared" si="6"/>
        <v>353769</v>
      </c>
      <c r="L26" s="101">
        <f t="shared" si="6"/>
        <v>353769</v>
      </c>
      <c r="M26" s="101"/>
      <c r="O26" s="101">
        <f t="shared" si="8"/>
        <v>272130</v>
      </c>
      <c r="P26" s="101">
        <f t="shared" si="8"/>
        <v>272130</v>
      </c>
      <c r="Q26" s="101">
        <f t="shared" si="8"/>
        <v>2721300</v>
      </c>
      <c r="R26" s="101">
        <f t="shared" si="8"/>
        <v>2721300</v>
      </c>
    </row>
    <row r="27" spans="1:18" x14ac:dyDescent="0.3">
      <c r="A27" s="221" t="s">
        <v>550</v>
      </c>
      <c r="D27" s="101">
        <v>1000000</v>
      </c>
      <c r="E27" s="101">
        <v>100000</v>
      </c>
      <c r="F27" s="101">
        <v>10000000</v>
      </c>
      <c r="G27" s="101">
        <v>1000000</v>
      </c>
      <c r="I27" s="101">
        <f t="shared" si="7"/>
        <v>130000</v>
      </c>
      <c r="J27" s="101">
        <f t="shared" si="6"/>
        <v>13000</v>
      </c>
      <c r="K27" s="101">
        <f t="shared" si="6"/>
        <v>1300000</v>
      </c>
      <c r="L27" s="101">
        <f t="shared" si="6"/>
        <v>130000</v>
      </c>
      <c r="M27" s="101"/>
      <c r="O27" s="101">
        <f t="shared" si="8"/>
        <v>1000000</v>
      </c>
      <c r="P27" s="101">
        <f t="shared" si="8"/>
        <v>100000</v>
      </c>
      <c r="Q27" s="101">
        <f t="shared" si="8"/>
        <v>10000000</v>
      </c>
      <c r="R27" s="101">
        <f t="shared" si="8"/>
        <v>1000000</v>
      </c>
    </row>
    <row r="28" spans="1:18" x14ac:dyDescent="0.3">
      <c r="G28" s="101"/>
      <c r="O28" s="172" t="s">
        <v>780</v>
      </c>
      <c r="P28" s="173"/>
      <c r="Q28" s="173"/>
      <c r="R28" s="173"/>
    </row>
    <row r="29" spans="1:18" x14ac:dyDescent="0.3">
      <c r="A29" s="221" t="s">
        <v>762</v>
      </c>
      <c r="G29" s="101"/>
      <c r="R29" s="101"/>
    </row>
    <row r="30" spans="1:18" x14ac:dyDescent="0.3">
      <c r="A30" s="221" t="str">
        <f>'Svc-Reliability-Financ COFcalc'!A7</f>
        <v>emergency response and incident management cost</v>
      </c>
      <c r="D30" s="101">
        <v>1000000</v>
      </c>
      <c r="E30" s="101">
        <v>500000</v>
      </c>
      <c r="F30" s="101">
        <v>5000000</v>
      </c>
      <c r="G30" s="101">
        <v>2000000</v>
      </c>
      <c r="I30" s="101">
        <f>0.13*D30</f>
        <v>130000</v>
      </c>
      <c r="J30" s="101">
        <f t="shared" ref="J30:L45" si="9">0.13*E30</f>
        <v>65000</v>
      </c>
      <c r="K30" s="101">
        <f t="shared" si="9"/>
        <v>650000</v>
      </c>
      <c r="L30" s="101">
        <f t="shared" si="9"/>
        <v>260000</v>
      </c>
      <c r="M30" s="101"/>
      <c r="O30" s="101">
        <f>D30</f>
        <v>1000000</v>
      </c>
      <c r="P30" s="101">
        <f>E30</f>
        <v>500000</v>
      </c>
      <c r="Q30" s="101">
        <f>F30</f>
        <v>5000000</v>
      </c>
      <c r="R30" s="101">
        <f>G30</f>
        <v>2000000</v>
      </c>
    </row>
    <row r="31" spans="1:18" x14ac:dyDescent="0.3">
      <c r="A31" s="221" t="str">
        <f>'Svc-Reliability-Financ COFcalc'!A8</f>
        <v>product lost during leak</v>
      </c>
      <c r="D31" s="101">
        <v>720000</v>
      </c>
      <c r="E31" s="101">
        <v>720000</v>
      </c>
      <c r="F31" s="101">
        <v>7200000</v>
      </c>
      <c r="G31" s="101">
        <v>7200000</v>
      </c>
      <c r="I31" s="101">
        <f t="shared" ref="I31:I45" si="10">0.13*D31</f>
        <v>93600</v>
      </c>
      <c r="J31" s="101">
        <f t="shared" si="9"/>
        <v>93600</v>
      </c>
      <c r="K31" s="101">
        <f t="shared" si="9"/>
        <v>936000</v>
      </c>
      <c r="L31" s="101">
        <f t="shared" si="9"/>
        <v>936000</v>
      </c>
      <c r="M31" s="101"/>
      <c r="O31" s="101">
        <f t="shared" ref="O31:R45" si="11">D31</f>
        <v>720000</v>
      </c>
      <c r="P31" s="101">
        <f t="shared" si="11"/>
        <v>720000</v>
      </c>
      <c r="Q31" s="101">
        <f t="shared" si="11"/>
        <v>7200000</v>
      </c>
      <c r="R31" s="101">
        <f t="shared" si="11"/>
        <v>7200000</v>
      </c>
    </row>
    <row r="32" spans="1:18" x14ac:dyDescent="0.3">
      <c r="A32" s="221" t="str">
        <f>'Svc-Reliability-Financ COFcalc'!A9</f>
        <v>degradation of product/service quality</v>
      </c>
      <c r="D32" s="101">
        <v>1000000</v>
      </c>
      <c r="E32" s="101">
        <v>500000</v>
      </c>
      <c r="F32" s="101">
        <v>10000000</v>
      </c>
      <c r="G32" s="101">
        <v>5000000</v>
      </c>
      <c r="I32" s="101">
        <f t="shared" si="10"/>
        <v>130000</v>
      </c>
      <c r="J32" s="101">
        <f t="shared" si="9"/>
        <v>65000</v>
      </c>
      <c r="K32" s="101">
        <f t="shared" si="9"/>
        <v>1300000</v>
      </c>
      <c r="L32" s="101">
        <f t="shared" si="9"/>
        <v>650000</v>
      </c>
      <c r="M32" s="101"/>
      <c r="O32" s="101">
        <f t="shared" si="11"/>
        <v>1000000</v>
      </c>
      <c r="P32" s="101">
        <f t="shared" si="11"/>
        <v>500000</v>
      </c>
      <c r="Q32" s="101">
        <f t="shared" si="11"/>
        <v>10000000</v>
      </c>
      <c r="R32" s="101">
        <f t="shared" si="11"/>
        <v>5000000</v>
      </c>
    </row>
    <row r="33" spans="1:52" x14ac:dyDescent="0.3">
      <c r="A33" s="221" t="str">
        <f>'Svc-Reliability-Financ COFcalc'!A10</f>
        <v>business interruption/service interruption cost, loss of market share/loss of customers</v>
      </c>
      <c r="D33" s="101">
        <v>1000000</v>
      </c>
      <c r="E33" s="101">
        <v>500000</v>
      </c>
      <c r="F33" s="101">
        <v>10000000</v>
      </c>
      <c r="G33" s="101">
        <v>5000000</v>
      </c>
      <c r="I33" s="101">
        <f t="shared" si="10"/>
        <v>130000</v>
      </c>
      <c r="J33" s="101">
        <f t="shared" si="9"/>
        <v>65000</v>
      </c>
      <c r="K33" s="101">
        <f t="shared" si="9"/>
        <v>1300000</v>
      </c>
      <c r="L33" s="101">
        <f t="shared" si="9"/>
        <v>650000</v>
      </c>
      <c r="M33" s="101"/>
      <c r="O33" s="101">
        <f t="shared" si="11"/>
        <v>1000000</v>
      </c>
      <c r="P33" s="101">
        <f t="shared" si="11"/>
        <v>500000</v>
      </c>
      <c r="Q33" s="101">
        <f t="shared" si="11"/>
        <v>10000000</v>
      </c>
      <c r="R33" s="101">
        <f t="shared" si="11"/>
        <v>5000000</v>
      </c>
    </row>
    <row r="34" spans="1:52" x14ac:dyDescent="0.3">
      <c r="A34" s="221" t="str">
        <f>'Svc-Reliability-Financ COFcalc'!A11</f>
        <v>ability to compensate for flow/service loss</v>
      </c>
      <c r="D34" s="101">
        <v>500000</v>
      </c>
      <c r="E34" s="101">
        <v>100000</v>
      </c>
      <c r="F34" s="101">
        <v>10000000</v>
      </c>
      <c r="G34" s="101">
        <v>5000000</v>
      </c>
      <c r="I34" s="101">
        <f t="shared" si="10"/>
        <v>65000</v>
      </c>
      <c r="J34" s="101">
        <f t="shared" si="9"/>
        <v>13000</v>
      </c>
      <c r="K34" s="101">
        <f t="shared" si="9"/>
        <v>1300000</v>
      </c>
      <c r="L34" s="101">
        <f t="shared" si="9"/>
        <v>650000</v>
      </c>
      <c r="M34" s="101"/>
      <c r="O34" s="101">
        <f t="shared" si="11"/>
        <v>500000</v>
      </c>
      <c r="P34" s="101">
        <f t="shared" si="11"/>
        <v>100000</v>
      </c>
      <c r="Q34" s="101">
        <f t="shared" si="11"/>
        <v>10000000</v>
      </c>
      <c r="R34" s="101">
        <f t="shared" si="11"/>
        <v>5000000</v>
      </c>
    </row>
    <row r="35" spans="1:52" x14ac:dyDescent="0.3">
      <c r="A35" s="221" t="str">
        <f>'Svc-Reliability-Financ COFcalc'!A12</f>
        <v>deployment costs for emergency response personnel</v>
      </c>
      <c r="D35" s="101">
        <v>1000000</v>
      </c>
      <c r="E35" s="101">
        <v>100000</v>
      </c>
      <c r="F35" s="101">
        <v>5000000</v>
      </c>
      <c r="G35" s="101">
        <v>2000000</v>
      </c>
      <c r="I35" s="101">
        <f t="shared" si="10"/>
        <v>130000</v>
      </c>
      <c r="J35" s="101">
        <f t="shared" si="9"/>
        <v>13000</v>
      </c>
      <c r="K35" s="101">
        <f t="shared" si="9"/>
        <v>650000</v>
      </c>
      <c r="L35" s="101">
        <f t="shared" si="9"/>
        <v>260000</v>
      </c>
      <c r="M35" s="101"/>
      <c r="O35" s="101">
        <f t="shared" si="11"/>
        <v>1000000</v>
      </c>
      <c r="P35" s="101">
        <f t="shared" si="11"/>
        <v>100000</v>
      </c>
      <c r="Q35" s="101">
        <f t="shared" si="11"/>
        <v>5000000</v>
      </c>
      <c r="R35" s="101">
        <f t="shared" si="11"/>
        <v>2000000</v>
      </c>
    </row>
    <row r="36" spans="1:52" x14ac:dyDescent="0.3">
      <c r="A36" s="221" t="str">
        <f>'Svc-Reliability-Financ COFcalc'!A13</f>
        <v xml:space="preserve">equipment repair and restoration </v>
      </c>
      <c r="D36" s="101">
        <v>5000000</v>
      </c>
      <c r="E36" s="101">
        <v>1000000</v>
      </c>
      <c r="F36" s="101">
        <v>20000000</v>
      </c>
      <c r="G36" s="101">
        <v>5000000</v>
      </c>
      <c r="I36" s="101">
        <f t="shared" si="10"/>
        <v>650000</v>
      </c>
      <c r="J36" s="101">
        <f t="shared" si="9"/>
        <v>130000</v>
      </c>
      <c r="K36" s="101">
        <f t="shared" si="9"/>
        <v>2600000</v>
      </c>
      <c r="L36" s="101">
        <f t="shared" si="9"/>
        <v>650000</v>
      </c>
      <c r="M36" s="101"/>
      <c r="O36" s="101">
        <f t="shared" si="11"/>
        <v>5000000</v>
      </c>
      <c r="P36" s="101">
        <f t="shared" si="11"/>
        <v>1000000</v>
      </c>
      <c r="Q36" s="101">
        <f t="shared" si="11"/>
        <v>20000000</v>
      </c>
      <c r="R36" s="101">
        <f t="shared" si="11"/>
        <v>5000000</v>
      </c>
    </row>
    <row r="37" spans="1:52" x14ac:dyDescent="0.3">
      <c r="A37" s="221" t="str">
        <f>'Svc-Reliability-Financ COFcalc'!A14</f>
        <v xml:space="preserve"> on-site and off-site property damage [incl. damage to adjacent eqpt and further business/service impacts] </v>
      </c>
      <c r="D37" s="101">
        <v>10000000</v>
      </c>
      <c r="E37" s="101">
        <v>1000000</v>
      </c>
      <c r="F37" s="101">
        <v>5000000</v>
      </c>
      <c r="G37" s="101">
        <v>1000000</v>
      </c>
      <c r="I37" s="101">
        <f t="shared" si="10"/>
        <v>1300000</v>
      </c>
      <c r="J37" s="101">
        <f t="shared" si="9"/>
        <v>130000</v>
      </c>
      <c r="K37" s="101">
        <f t="shared" si="9"/>
        <v>650000</v>
      </c>
      <c r="L37" s="101">
        <f t="shared" si="9"/>
        <v>130000</v>
      </c>
      <c r="M37" s="101"/>
      <c r="O37" s="101">
        <f t="shared" si="11"/>
        <v>10000000</v>
      </c>
      <c r="P37" s="101">
        <f t="shared" si="11"/>
        <v>1000000</v>
      </c>
      <c r="Q37" s="101">
        <f t="shared" si="11"/>
        <v>5000000</v>
      </c>
      <c r="R37" s="101">
        <f t="shared" si="11"/>
        <v>1000000</v>
      </c>
    </row>
    <row r="38" spans="1:52" x14ac:dyDescent="0.3">
      <c r="A38" s="221" t="str">
        <f>'Svc-Reliability-Financ COFcalc'!A15</f>
        <v>relocation/reimbursement</v>
      </c>
      <c r="D38" s="101">
        <v>10000000</v>
      </c>
      <c r="E38" s="101">
        <v>1000000</v>
      </c>
      <c r="F38" s="101">
        <v>10000</v>
      </c>
      <c r="G38" s="101">
        <v>5000</v>
      </c>
      <c r="I38" s="101">
        <f t="shared" si="10"/>
        <v>1300000</v>
      </c>
      <c r="J38" s="101">
        <f t="shared" si="9"/>
        <v>130000</v>
      </c>
      <c r="K38" s="101">
        <f t="shared" si="9"/>
        <v>1300</v>
      </c>
      <c r="L38" s="101">
        <f t="shared" si="9"/>
        <v>650</v>
      </c>
      <c r="M38" s="101"/>
      <c r="O38" s="101">
        <f t="shared" si="11"/>
        <v>10000000</v>
      </c>
      <c r="P38" s="101">
        <f t="shared" si="11"/>
        <v>1000000</v>
      </c>
      <c r="Q38" s="101">
        <f t="shared" si="11"/>
        <v>10000</v>
      </c>
      <c r="R38" s="101">
        <f t="shared" si="11"/>
        <v>5000</v>
      </c>
    </row>
    <row r="39" spans="1:52" x14ac:dyDescent="0.3">
      <c r="A39" s="221" t="str">
        <f>'Svc-Reliability-Financ COFcalc'!A16</f>
        <v>cost of cascading business risk [interruption of flow/feed to the next point curtails that activity as well]</v>
      </c>
      <c r="D39" s="101">
        <v>1000000</v>
      </c>
      <c r="E39" s="101">
        <v>500000</v>
      </c>
      <c r="F39" s="101">
        <v>10000000</v>
      </c>
      <c r="G39" s="101">
        <v>2000000</v>
      </c>
      <c r="I39" s="101">
        <f t="shared" si="10"/>
        <v>130000</v>
      </c>
      <c r="J39" s="101">
        <f t="shared" si="9"/>
        <v>65000</v>
      </c>
      <c r="K39" s="101">
        <f t="shared" si="9"/>
        <v>1300000</v>
      </c>
      <c r="L39" s="101">
        <f t="shared" si="9"/>
        <v>260000</v>
      </c>
      <c r="M39" s="101"/>
      <c r="O39" s="101">
        <f t="shared" si="11"/>
        <v>1000000</v>
      </c>
      <c r="P39" s="101">
        <f t="shared" si="11"/>
        <v>500000</v>
      </c>
      <c r="Q39" s="101">
        <f t="shared" si="11"/>
        <v>10000000</v>
      </c>
      <c r="R39" s="101">
        <f t="shared" si="11"/>
        <v>2000000</v>
      </c>
    </row>
    <row r="40" spans="1:52" x14ac:dyDescent="0.3">
      <c r="A40" s="221" t="str">
        <f>'Svc-Reliability-Financ COFcalc'!A17</f>
        <v xml:space="preserve">loss of goodwill/public reputation </v>
      </c>
      <c r="D40" s="101">
        <v>10000000</v>
      </c>
      <c r="E40" s="101">
        <v>1000000</v>
      </c>
      <c r="F40" s="101">
        <v>1000000</v>
      </c>
      <c r="G40" s="101">
        <v>500000</v>
      </c>
      <c r="I40" s="101">
        <f t="shared" si="10"/>
        <v>1300000</v>
      </c>
      <c r="J40" s="101">
        <f t="shared" si="9"/>
        <v>130000</v>
      </c>
      <c r="K40" s="101">
        <f t="shared" si="9"/>
        <v>130000</v>
      </c>
      <c r="L40" s="101">
        <f t="shared" si="9"/>
        <v>65000</v>
      </c>
      <c r="M40" s="101"/>
      <c r="O40" s="101">
        <f t="shared" si="11"/>
        <v>10000000</v>
      </c>
      <c r="P40" s="101">
        <f t="shared" si="11"/>
        <v>1000000</v>
      </c>
      <c r="Q40" s="101">
        <f t="shared" si="11"/>
        <v>1000000</v>
      </c>
      <c r="R40" s="101">
        <f t="shared" si="11"/>
        <v>500000</v>
      </c>
    </row>
    <row r="41" spans="1:52" x14ac:dyDescent="0.3">
      <c r="A41" s="221" t="str">
        <f>'Svc-Reliability-Financ COFcalc'!A18</f>
        <v>increased cost of insurance</v>
      </c>
      <c r="D41" s="101">
        <v>5000000</v>
      </c>
      <c r="E41" s="101">
        <v>2000000</v>
      </c>
      <c r="F41" s="101">
        <v>10000000</v>
      </c>
      <c r="G41" s="101">
        <v>5000000</v>
      </c>
      <c r="I41" s="101">
        <f t="shared" si="10"/>
        <v>650000</v>
      </c>
      <c r="J41" s="101">
        <f t="shared" si="9"/>
        <v>260000</v>
      </c>
      <c r="K41" s="101">
        <f t="shared" si="9"/>
        <v>1300000</v>
      </c>
      <c r="L41" s="101">
        <f t="shared" si="9"/>
        <v>650000</v>
      </c>
      <c r="M41" s="101"/>
      <c r="O41" s="101">
        <f t="shared" si="11"/>
        <v>5000000</v>
      </c>
      <c r="P41" s="101">
        <f t="shared" si="11"/>
        <v>2000000</v>
      </c>
      <c r="Q41" s="101">
        <f t="shared" si="11"/>
        <v>10000000</v>
      </c>
      <c r="R41" s="101">
        <f t="shared" si="11"/>
        <v>5000000</v>
      </c>
    </row>
    <row r="42" spans="1:52" x14ac:dyDescent="0.3">
      <c r="A42" s="221" t="str">
        <f>'Svc-Reliability-Financ COFcalc'!A19</f>
        <v xml:space="preserve"> litigation costs</v>
      </c>
      <c r="D42" s="101">
        <v>50000000</v>
      </c>
      <c r="E42" s="101">
        <v>10000000</v>
      </c>
      <c r="F42" s="101">
        <v>10000000</v>
      </c>
      <c r="G42" s="101">
        <v>5000000</v>
      </c>
      <c r="I42" s="101">
        <f t="shared" si="10"/>
        <v>6500000</v>
      </c>
      <c r="J42" s="101">
        <f t="shared" si="9"/>
        <v>1300000</v>
      </c>
      <c r="K42" s="101">
        <f t="shared" si="9"/>
        <v>1300000</v>
      </c>
      <c r="L42" s="101">
        <f t="shared" si="9"/>
        <v>650000</v>
      </c>
      <c r="M42" s="101"/>
      <c r="O42" s="101">
        <f t="shared" si="11"/>
        <v>50000000</v>
      </c>
      <c r="P42" s="101">
        <f t="shared" si="11"/>
        <v>10000000</v>
      </c>
      <c r="Q42" s="101">
        <f t="shared" si="11"/>
        <v>10000000</v>
      </c>
      <c r="R42" s="101">
        <f t="shared" si="11"/>
        <v>5000000</v>
      </c>
    </row>
    <row r="43" spans="1:52" x14ac:dyDescent="0.3">
      <c r="A43" s="221" t="str">
        <f>'Svc-Reliability-Financ COFcalc'!A20</f>
        <v xml:space="preserve">regulatory actions/fines/cost of new regs </v>
      </c>
      <c r="D43" s="101">
        <v>50000000</v>
      </c>
      <c r="E43" s="101">
        <v>10000000</v>
      </c>
      <c r="F43" s="101">
        <v>10000000</v>
      </c>
      <c r="G43" s="101">
        <v>5000000</v>
      </c>
      <c r="I43" s="101">
        <f t="shared" si="10"/>
        <v>6500000</v>
      </c>
      <c r="J43" s="101">
        <f t="shared" si="9"/>
        <v>1300000</v>
      </c>
      <c r="K43" s="101">
        <f t="shared" si="9"/>
        <v>1300000</v>
      </c>
      <c r="L43" s="101">
        <f t="shared" si="9"/>
        <v>650000</v>
      </c>
      <c r="M43" s="101"/>
      <c r="O43" s="101">
        <f t="shared" si="11"/>
        <v>50000000</v>
      </c>
      <c r="P43" s="101">
        <f t="shared" si="11"/>
        <v>10000000</v>
      </c>
      <c r="Q43" s="101">
        <f t="shared" si="11"/>
        <v>10000000</v>
      </c>
      <c r="R43" s="101">
        <f t="shared" si="11"/>
        <v>5000000</v>
      </c>
    </row>
    <row r="44" spans="1:52" x14ac:dyDescent="0.3">
      <c r="A44" s="221" t="str">
        <f>'Svc-Reliability-Financ COFcalc'!A23</f>
        <v>Home air/local water source monitoring</v>
      </c>
      <c r="D44" s="101">
        <v>10000000</v>
      </c>
      <c r="E44" s="101">
        <v>500000</v>
      </c>
      <c r="F44" s="101">
        <v>20000</v>
      </c>
      <c r="G44" s="101">
        <v>5000</v>
      </c>
      <c r="I44" s="101">
        <f t="shared" si="10"/>
        <v>1300000</v>
      </c>
      <c r="J44" s="101">
        <f t="shared" si="9"/>
        <v>65000</v>
      </c>
      <c r="K44" s="101">
        <f t="shared" si="9"/>
        <v>2600</v>
      </c>
      <c r="L44" s="101">
        <f t="shared" si="9"/>
        <v>650</v>
      </c>
      <c r="M44" s="101"/>
      <c r="O44" s="101">
        <f t="shared" si="11"/>
        <v>10000000</v>
      </c>
      <c r="P44" s="101">
        <f t="shared" si="11"/>
        <v>500000</v>
      </c>
      <c r="Q44" s="101">
        <f t="shared" si="11"/>
        <v>20000</v>
      </c>
      <c r="R44" s="101">
        <f t="shared" si="11"/>
        <v>5000</v>
      </c>
    </row>
    <row r="45" spans="1:52" x14ac:dyDescent="0.3">
      <c r="A45" s="221" t="str">
        <f>'Svc-Reliability-Financ COFcalc'!A28</f>
        <v>Wildlife/endangered species impact</v>
      </c>
      <c r="D45" s="101">
        <v>1000000</v>
      </c>
      <c r="E45" s="101">
        <v>100000</v>
      </c>
      <c r="F45" s="101">
        <v>1000000</v>
      </c>
      <c r="G45" s="101">
        <v>500000</v>
      </c>
      <c r="I45" s="101">
        <f t="shared" si="10"/>
        <v>130000</v>
      </c>
      <c r="J45" s="101">
        <f t="shared" si="9"/>
        <v>13000</v>
      </c>
      <c r="K45" s="101">
        <f t="shared" si="9"/>
        <v>130000</v>
      </c>
      <c r="L45" s="101">
        <f t="shared" si="9"/>
        <v>65000</v>
      </c>
      <c r="M45" s="101"/>
      <c r="N45" s="101">
        <f>SUM(O30:O45)</f>
        <v>157220000</v>
      </c>
      <c r="O45" s="101">
        <f t="shared" si="11"/>
        <v>1000000</v>
      </c>
      <c r="P45" s="101">
        <f t="shared" si="11"/>
        <v>100000</v>
      </c>
      <c r="Q45" s="101">
        <f t="shared" si="11"/>
        <v>1000000</v>
      </c>
      <c r="R45" s="101">
        <f t="shared" si="11"/>
        <v>500000</v>
      </c>
      <c r="AV45" s="252" t="s">
        <v>1063</v>
      </c>
      <c r="AW45" s="252"/>
      <c r="AX45" s="252"/>
      <c r="AY45" s="252" t="s">
        <v>1064</v>
      </c>
    </row>
    <row r="46" spans="1:52" x14ac:dyDescent="0.3">
      <c r="G46" s="101"/>
      <c r="O46" s="172" t="s">
        <v>780</v>
      </c>
      <c r="P46" s="173"/>
      <c r="Q46" s="173"/>
      <c r="R46" s="173"/>
      <c r="AV46" s="221" t="s">
        <v>918</v>
      </c>
      <c r="AY46" s="221" t="s">
        <v>921</v>
      </c>
    </row>
    <row r="47" spans="1:52" x14ac:dyDescent="0.3">
      <c r="G47" s="101"/>
      <c r="R47" s="101"/>
      <c r="AV47" s="221">
        <f>24*365</f>
        <v>8760</v>
      </c>
      <c r="AW47" s="221" t="s">
        <v>919</v>
      </c>
      <c r="AY47" s="221">
        <v>8760</v>
      </c>
      <c r="AZ47" s="221" t="s">
        <v>919</v>
      </c>
    </row>
    <row r="48" spans="1:52" x14ac:dyDescent="0.3">
      <c r="C48" s="174" t="s">
        <v>799</v>
      </c>
      <c r="D48" s="175">
        <v>1188331148.4249601</v>
      </c>
      <c r="E48" s="175">
        <v>47267387.295680001</v>
      </c>
      <c r="F48" s="175">
        <v>143642850.21551999</v>
      </c>
      <c r="G48" s="175">
        <v>54657799.464400001</v>
      </c>
      <c r="I48" s="175">
        <f>SUM(I14, I23:I27, I30:I45)</f>
        <v>74962976.900000006</v>
      </c>
      <c r="J48" s="175">
        <f t="shared" ref="J48:L48" si="12">SUM(J14, J23:J27, J30:J45)</f>
        <v>42806886.899999999</v>
      </c>
      <c r="K48" s="175">
        <f t="shared" si="12"/>
        <v>56463669</v>
      </c>
      <c r="L48" s="175">
        <f t="shared" si="12"/>
        <v>39426999</v>
      </c>
      <c r="M48" s="175"/>
      <c r="O48" s="185">
        <f>SUM(O14,O20,SUM(O23:O45))</f>
        <v>1188331148.4249601</v>
      </c>
      <c r="P48" s="185">
        <f t="shared" ref="P48:R48" si="13">SUM(P14,P20,SUM(P23:P45))</f>
        <v>47267387.295680001</v>
      </c>
      <c r="Q48" s="185">
        <f t="shared" si="13"/>
        <v>143642850.21551999</v>
      </c>
      <c r="R48" s="185">
        <f t="shared" si="13"/>
        <v>54657799.464400001</v>
      </c>
      <c r="AV48" s="221">
        <f>2.04*8760</f>
        <v>17870.400000000001</v>
      </c>
      <c r="AW48" s="221" t="s">
        <v>920</v>
      </c>
      <c r="AY48" s="221">
        <f>0.17*8760</f>
        <v>1489.2</v>
      </c>
      <c r="AZ48" s="221" t="s">
        <v>920</v>
      </c>
    </row>
    <row r="49" spans="1:54" x14ac:dyDescent="0.3">
      <c r="G49" s="101"/>
      <c r="R49" s="101"/>
      <c r="AV49" s="221">
        <f>AV48/1000000*19.3*47</f>
        <v>16.210239840000003</v>
      </c>
      <c r="AW49" s="221" t="s">
        <v>922</v>
      </c>
      <c r="AY49" s="221">
        <f>AY48/1000000*19.3*47</f>
        <v>1.3508533199999999</v>
      </c>
      <c r="AZ49" s="221" t="s">
        <v>922</v>
      </c>
    </row>
    <row r="50" spans="1:54" x14ac:dyDescent="0.3">
      <c r="C50" s="221" t="s">
        <v>768</v>
      </c>
      <c r="D50" s="101">
        <v>19395000</v>
      </c>
      <c r="E50" s="101">
        <v>6465000</v>
      </c>
      <c r="F50" s="101">
        <v>6465000</v>
      </c>
      <c r="G50" s="101">
        <v>12930</v>
      </c>
      <c r="I50" s="101">
        <f>I14</f>
        <v>51720000</v>
      </c>
      <c r="J50" s="101">
        <f t="shared" ref="J50:L50" si="14">J14</f>
        <v>38790000</v>
      </c>
      <c r="K50" s="101">
        <f t="shared" si="14"/>
        <v>38790000</v>
      </c>
      <c r="L50" s="101">
        <f t="shared" si="14"/>
        <v>32337930</v>
      </c>
      <c r="M50" s="101"/>
      <c r="O50" s="101">
        <f t="shared" ref="O50:R53" si="15">D50</f>
        <v>19395000</v>
      </c>
      <c r="P50" s="101">
        <f t="shared" si="15"/>
        <v>6465000</v>
      </c>
      <c r="Q50" s="101">
        <f t="shared" si="15"/>
        <v>6465000</v>
      </c>
      <c r="R50" s="101">
        <f t="shared" si="15"/>
        <v>12930</v>
      </c>
    </row>
    <row r="51" spans="1:54" x14ac:dyDescent="0.3">
      <c r="C51" s="221" t="s">
        <v>769</v>
      </c>
      <c r="D51" s="101">
        <v>636065</v>
      </c>
      <c r="E51" s="101">
        <v>186065</v>
      </c>
      <c r="F51" s="101">
        <v>6360650</v>
      </c>
      <c r="G51" s="101">
        <v>1860650</v>
      </c>
      <c r="I51" s="101">
        <f>SUM(I23:I27)</f>
        <v>2804376.9</v>
      </c>
      <c r="J51" s="101">
        <f t="shared" ref="J51:L51" si="16">SUM(J23:J27)</f>
        <v>179286.9</v>
      </c>
      <c r="K51" s="101">
        <f t="shared" si="16"/>
        <v>2823769</v>
      </c>
      <c r="L51" s="101">
        <f t="shared" si="16"/>
        <v>561769</v>
      </c>
      <c r="M51" s="101"/>
      <c r="O51" s="101">
        <f t="shared" si="15"/>
        <v>636065</v>
      </c>
      <c r="P51" s="101">
        <f t="shared" si="15"/>
        <v>186065</v>
      </c>
      <c r="Q51" s="101">
        <f t="shared" si="15"/>
        <v>6360650</v>
      </c>
      <c r="R51" s="101">
        <f t="shared" si="15"/>
        <v>1860650</v>
      </c>
    </row>
    <row r="52" spans="1:54" x14ac:dyDescent="0.3">
      <c r="C52" s="8" t="s">
        <v>770</v>
      </c>
      <c r="D52" s="170">
        <v>78610000</v>
      </c>
      <c r="E52" s="170">
        <v>14760000</v>
      </c>
      <c r="F52" s="170">
        <v>57115000</v>
      </c>
      <c r="G52" s="170">
        <v>25105000</v>
      </c>
      <c r="I52" s="170">
        <f>SUM(I30:I45)</f>
        <v>20438600</v>
      </c>
      <c r="J52" s="170">
        <f t="shared" ref="J52:L52" si="17">SUM(J30:J45)</f>
        <v>3837600</v>
      </c>
      <c r="K52" s="170">
        <f t="shared" si="17"/>
        <v>14849900</v>
      </c>
      <c r="L52" s="170">
        <f t="shared" si="17"/>
        <v>6527300</v>
      </c>
      <c r="M52" s="208"/>
      <c r="O52" s="101">
        <f t="shared" si="15"/>
        <v>78610000</v>
      </c>
      <c r="P52" s="101">
        <f t="shared" si="15"/>
        <v>14760000</v>
      </c>
      <c r="Q52" s="101">
        <f t="shared" si="15"/>
        <v>57115000</v>
      </c>
      <c r="R52" s="101">
        <f t="shared" si="15"/>
        <v>25105000</v>
      </c>
    </row>
    <row r="53" spans="1:54" x14ac:dyDescent="0.3">
      <c r="C53" s="146" t="s">
        <v>773</v>
      </c>
      <c r="D53" s="171">
        <v>98641065</v>
      </c>
      <c r="E53" s="171">
        <v>21411065</v>
      </c>
      <c r="F53" s="171">
        <v>69940650</v>
      </c>
      <c r="G53" s="171">
        <v>26978580</v>
      </c>
      <c r="I53" s="171">
        <f>SUM(I50:I52)</f>
        <v>74962976.900000006</v>
      </c>
      <c r="J53" s="171">
        <f t="shared" ref="J53:L53" si="18">SUM(J50:J52)</f>
        <v>42806886.899999999</v>
      </c>
      <c r="K53" s="171">
        <f t="shared" si="18"/>
        <v>56463669</v>
      </c>
      <c r="L53" s="171">
        <f t="shared" si="18"/>
        <v>39426999</v>
      </c>
      <c r="M53" s="171"/>
      <c r="O53" s="101">
        <f t="shared" si="15"/>
        <v>98641065</v>
      </c>
      <c r="P53" s="101">
        <f t="shared" si="15"/>
        <v>21411065</v>
      </c>
      <c r="Q53" s="101">
        <f t="shared" si="15"/>
        <v>69940650</v>
      </c>
      <c r="R53" s="101">
        <f t="shared" si="15"/>
        <v>26978580</v>
      </c>
      <c r="BB53" s="221" t="s">
        <v>1060</v>
      </c>
    </row>
    <row r="54" spans="1:54" x14ac:dyDescent="0.3">
      <c r="D54" s="101"/>
      <c r="E54" s="101"/>
      <c r="F54" s="101"/>
      <c r="G54" s="101"/>
      <c r="O54" s="101"/>
      <c r="P54" s="101"/>
      <c r="Q54" s="101"/>
      <c r="R54" s="101"/>
      <c r="AS54" s="221" t="s">
        <v>913</v>
      </c>
      <c r="BB54" s="221">
        <f>0.71/0.05</f>
        <v>14.2</v>
      </c>
    </row>
    <row r="55" spans="1:54" x14ac:dyDescent="0.3">
      <c r="O55" s="101"/>
      <c r="AT55" s="221">
        <v>9324</v>
      </c>
      <c r="AU55" s="221" t="s">
        <v>914</v>
      </c>
      <c r="BB55" s="221">
        <f>36.65/2.454</f>
        <v>14.934800325998369</v>
      </c>
    </row>
    <row r="56" spans="1:54" x14ac:dyDescent="0.3">
      <c r="C56" s="221" t="s">
        <v>771</v>
      </c>
      <c r="D56" s="101">
        <v>990144018.42496002</v>
      </c>
      <c r="E56" s="101">
        <v>9903257.2956800014</v>
      </c>
      <c r="F56" s="101">
        <v>1226550.2155200001</v>
      </c>
      <c r="G56" s="101">
        <v>113569.46440000001</v>
      </c>
      <c r="O56" s="101">
        <f>D56</f>
        <v>990144018.42496002</v>
      </c>
      <c r="P56" s="101">
        <f>E56</f>
        <v>9903257.2956800014</v>
      </c>
      <c r="Q56" s="101">
        <f>F56</f>
        <v>1226550.2155200001</v>
      </c>
      <c r="R56" s="101">
        <f>G56</f>
        <v>113569.46440000001</v>
      </c>
      <c r="AT56" s="221">
        <v>276014</v>
      </c>
      <c r="AU56" s="221" t="s">
        <v>109</v>
      </c>
    </row>
    <row r="57" spans="1:54" x14ac:dyDescent="0.3">
      <c r="C57" s="221" t="s">
        <v>772</v>
      </c>
      <c r="D57" s="101">
        <v>20936065</v>
      </c>
      <c r="E57" s="101">
        <v>1193065</v>
      </c>
      <c r="F57" s="101">
        <v>15360650</v>
      </c>
      <c r="G57" s="101">
        <v>2460650</v>
      </c>
      <c r="O57" s="101">
        <f t="shared" ref="O57:R59" si="19">D57</f>
        <v>20936065</v>
      </c>
      <c r="P57" s="101">
        <f t="shared" si="19"/>
        <v>1193065</v>
      </c>
      <c r="Q57" s="101">
        <f t="shared" si="19"/>
        <v>15360650</v>
      </c>
      <c r="R57" s="101">
        <f t="shared" si="19"/>
        <v>2460650</v>
      </c>
      <c r="AT57" s="221">
        <f>AT56/AT55</f>
        <v>29.602531102531103</v>
      </c>
      <c r="AU57" s="221" t="s">
        <v>915</v>
      </c>
    </row>
    <row r="58" spans="1:54" x14ac:dyDescent="0.3">
      <c r="C58" s="8" t="s">
        <v>813</v>
      </c>
      <c r="D58" s="170">
        <v>78610000</v>
      </c>
      <c r="E58" s="170">
        <v>14760000</v>
      </c>
      <c r="F58" s="170">
        <v>57115000</v>
      </c>
      <c r="G58" s="170">
        <v>25105000</v>
      </c>
      <c r="O58" s="101">
        <f t="shared" si="19"/>
        <v>78610000</v>
      </c>
      <c r="P58" s="101">
        <f t="shared" si="19"/>
        <v>14760000</v>
      </c>
      <c r="Q58" s="101">
        <f t="shared" si="19"/>
        <v>57115000</v>
      </c>
      <c r="R58" s="101">
        <f t="shared" si="19"/>
        <v>25105000</v>
      </c>
      <c r="AT58" s="221">
        <v>10</v>
      </c>
      <c r="AU58" s="221" t="s">
        <v>916</v>
      </c>
    </row>
    <row r="59" spans="1:54" x14ac:dyDescent="0.3">
      <c r="C59" s="146" t="s">
        <v>774</v>
      </c>
      <c r="D59" s="171">
        <v>1089690083.4249601</v>
      </c>
      <c r="E59" s="171">
        <v>25856322.295680001</v>
      </c>
      <c r="F59" s="171">
        <v>73702200.215519994</v>
      </c>
      <c r="G59" s="171">
        <v>27679219.464400001</v>
      </c>
      <c r="M59" s="242"/>
      <c r="N59" s="242" t="s">
        <v>1007</v>
      </c>
      <c r="O59" s="101">
        <f t="shared" si="19"/>
        <v>1089690083.4249601</v>
      </c>
      <c r="P59" s="101">
        <f t="shared" si="19"/>
        <v>25856322.295680001</v>
      </c>
      <c r="Q59" s="101">
        <f t="shared" si="19"/>
        <v>73702200.215519994</v>
      </c>
      <c r="R59" s="101">
        <f t="shared" si="19"/>
        <v>27679219.464400001</v>
      </c>
    </row>
    <row r="60" spans="1:54" x14ac:dyDescent="0.3">
      <c r="C60" s="87" t="s">
        <v>974</v>
      </c>
      <c r="D60" s="170">
        <f>D53+D59</f>
        <v>1188331148.4249601</v>
      </c>
      <c r="E60" s="170">
        <f t="shared" ref="E60:G60" si="20">E53+E59</f>
        <v>47267387.295680001</v>
      </c>
      <c r="F60" s="170">
        <f t="shared" si="20"/>
        <v>143642850.21551999</v>
      </c>
      <c r="G60" s="170">
        <f t="shared" si="20"/>
        <v>54657799.464400001</v>
      </c>
      <c r="J60" s="221" t="s">
        <v>926</v>
      </c>
      <c r="M60" s="243" t="s">
        <v>717</v>
      </c>
      <c r="N60" s="244">
        <v>0.67</v>
      </c>
      <c r="O60" s="101">
        <f>O53+O59</f>
        <v>1188331148.4249601</v>
      </c>
      <c r="P60" s="101">
        <f t="shared" ref="P60:R60" si="21">P53+P59</f>
        <v>47267387.295680001</v>
      </c>
      <c r="Q60" s="101">
        <f t="shared" si="21"/>
        <v>143642850.21551999</v>
      </c>
      <c r="R60" s="101">
        <f t="shared" si="21"/>
        <v>54657799.464400001</v>
      </c>
      <c r="AS60" s="221" t="s">
        <v>917</v>
      </c>
    </row>
    <row r="61" spans="1:54" x14ac:dyDescent="0.3">
      <c r="C61" s="86" t="s">
        <v>1008</v>
      </c>
      <c r="D61" s="233"/>
      <c r="E61" s="233"/>
      <c r="F61" s="233"/>
      <c r="G61" s="233"/>
      <c r="I61" s="221" t="s">
        <v>927</v>
      </c>
      <c r="M61" s="243" t="s">
        <v>43</v>
      </c>
      <c r="N61" s="244">
        <v>0.8</v>
      </c>
      <c r="O61" s="73" t="s">
        <v>1054</v>
      </c>
    </row>
    <row r="62" spans="1:54" x14ac:dyDescent="0.3">
      <c r="A62" s="86"/>
      <c r="C62" s="221" t="s">
        <v>973</v>
      </c>
      <c r="D62" s="184">
        <f>O111</f>
        <v>253585934.7987451</v>
      </c>
      <c r="E62" s="184">
        <f t="shared" ref="E62:G65" si="22">P111</f>
        <v>10181303.807877097</v>
      </c>
      <c r="F62" s="184">
        <f t="shared" si="22"/>
        <v>20793513.611778438</v>
      </c>
      <c r="G62" s="101">
        <f t="shared" si="22"/>
        <v>7920137.6822942998</v>
      </c>
      <c r="I62" s="221" t="s">
        <v>928</v>
      </c>
      <c r="J62" s="221">
        <v>0.05</v>
      </c>
      <c r="K62" s="221">
        <f>1/24*1/30*0.05</f>
        <v>6.9444444444444444E-5</v>
      </c>
      <c r="M62" s="243" t="s">
        <v>44</v>
      </c>
      <c r="N62" s="244">
        <v>0.90500000000000003</v>
      </c>
      <c r="O62" s="73"/>
    </row>
    <row r="63" spans="1:54" x14ac:dyDescent="0.3">
      <c r="C63" s="221" t="s">
        <v>796</v>
      </c>
      <c r="D63" s="101">
        <f>O112</f>
        <v>145259964.5954701</v>
      </c>
      <c r="E63" s="101">
        <f t="shared" si="22"/>
        <v>6016717.77656864</v>
      </c>
      <c r="F63" s="101">
        <f t="shared" si="22"/>
        <v>11867643.998319203</v>
      </c>
      <c r="G63" s="101">
        <f t="shared" si="22"/>
        <v>4558737.7564740013</v>
      </c>
      <c r="I63" s="221" t="s">
        <v>929</v>
      </c>
      <c r="J63" s="221">
        <v>0.18</v>
      </c>
      <c r="K63" s="221">
        <f>3.5/24*1/30*0.18</f>
        <v>8.7500000000000002E-4</v>
      </c>
      <c r="M63" s="243" t="s">
        <v>716</v>
      </c>
      <c r="N63" s="244">
        <v>0.98499999999999999</v>
      </c>
      <c r="O63" s="73"/>
    </row>
    <row r="64" spans="1:54" x14ac:dyDescent="0.3">
      <c r="C64" s="221" t="s">
        <v>797</v>
      </c>
      <c r="D64" s="101">
        <f t="shared" ref="D64:D65" si="23">O113</f>
        <v>65513262.891641557</v>
      </c>
      <c r="E64" s="101">
        <f t="shared" si="22"/>
        <v>2775626.9553206116</v>
      </c>
      <c r="F64" s="101">
        <f t="shared" si="22"/>
        <v>5300269.4305377314</v>
      </c>
      <c r="G64" s="101">
        <f t="shared" si="22"/>
        <v>2053295.0020437897</v>
      </c>
      <c r="I64" s="221" t="s">
        <v>930</v>
      </c>
      <c r="J64" s="221">
        <v>0.26</v>
      </c>
      <c r="K64" s="221">
        <f>15/24*1/30*0.26</f>
        <v>5.4166666666666669E-3</v>
      </c>
      <c r="N64" s="224" t="s">
        <v>955</v>
      </c>
      <c r="O64" s="73"/>
    </row>
    <row r="65" spans="1:21" x14ac:dyDescent="0.3">
      <c r="C65" s="221" t="s">
        <v>798</v>
      </c>
      <c r="D65" s="184">
        <f t="shared" si="23"/>
        <v>14150803.311280824</v>
      </c>
      <c r="E65" s="184">
        <f t="shared" si="22"/>
        <v>574414.05851718504</v>
      </c>
      <c r="F65" s="184">
        <f t="shared" si="22"/>
        <v>1311502.5647362208</v>
      </c>
      <c r="G65" s="184">
        <f t="shared" si="22"/>
        <v>505630.32294162514</v>
      </c>
      <c r="I65" s="221" t="s">
        <v>931</v>
      </c>
      <c r="J65" s="221">
        <v>0.41</v>
      </c>
      <c r="K65" s="221">
        <f>4*1/30*0.41</f>
        <v>5.4666666666666662E-2</v>
      </c>
      <c r="M65" s="224" t="s">
        <v>953</v>
      </c>
      <c r="N65" s="223" t="s">
        <v>954</v>
      </c>
      <c r="O65" s="73"/>
    </row>
    <row r="66" spans="1:21" x14ac:dyDescent="0.3">
      <c r="C66" s="86" t="s">
        <v>1009</v>
      </c>
      <c r="I66" s="221" t="s">
        <v>932</v>
      </c>
      <c r="J66" s="221">
        <v>0.1</v>
      </c>
      <c r="K66" s="221">
        <f>18.5*1/30*0.09</f>
        <v>5.5500000000000001E-2</v>
      </c>
      <c r="L66" s="221" t="s">
        <v>887</v>
      </c>
      <c r="M66" s="224">
        <v>7.0000000000000007E-2</v>
      </c>
      <c r="N66" s="224">
        <v>0.93</v>
      </c>
      <c r="O66" s="223" t="s">
        <v>951</v>
      </c>
      <c r="P66" s="223">
        <v>0.875</v>
      </c>
      <c r="Q66" s="223">
        <f>1-P66</f>
        <v>0.125</v>
      </c>
      <c r="R66" s="223">
        <f>1/Q66</f>
        <v>8</v>
      </c>
      <c r="S66" s="252" t="s">
        <v>1065</v>
      </c>
      <c r="T66" s="252" t="s">
        <v>1066</v>
      </c>
      <c r="U66" s="252" t="s">
        <v>1067</v>
      </c>
    </row>
    <row r="67" spans="1:21" x14ac:dyDescent="0.3">
      <c r="C67" s="221" t="s">
        <v>975</v>
      </c>
      <c r="D67" s="101">
        <f>O70+(0.5*O74)+(O84)+(0.5*O88)+(0.5*O98)</f>
        <v>128571258.59681006</v>
      </c>
      <c r="E67" s="101">
        <f t="shared" ref="E67:G70" si="24">P70+(0.5*P74)+(P84)+(0.5*P88)+(0.5*P98)</f>
        <v>6071979.4138760483</v>
      </c>
      <c r="F67" s="101">
        <f t="shared" si="24"/>
        <v>10760022.48276422</v>
      </c>
      <c r="G67" s="101">
        <f t="shared" si="24"/>
        <v>4202925.89083465</v>
      </c>
      <c r="K67" s="221">
        <f>45*1/30*0.01</f>
        <v>1.4999999999999999E-2</v>
      </c>
      <c r="L67" s="221" t="s">
        <v>888</v>
      </c>
      <c r="M67" s="224">
        <v>7.0000000000000007E-2</v>
      </c>
      <c r="N67" s="224">
        <v>0.93</v>
      </c>
      <c r="O67" s="223" t="s">
        <v>781</v>
      </c>
      <c r="P67" s="223">
        <v>0.94</v>
      </c>
      <c r="Q67" s="223">
        <f>1-P67</f>
        <v>6.0000000000000053E-2</v>
      </c>
      <c r="R67" s="223">
        <f>1/Q67</f>
        <v>16.666666666666654</v>
      </c>
      <c r="S67" s="221">
        <f>1-T67</f>
        <v>0.990116</v>
      </c>
      <c r="T67" s="221">
        <f>0.00133+0.000124+0.0077+0.00073</f>
        <v>9.8840000000000004E-3</v>
      </c>
      <c r="U67" s="221">
        <f>1/T67</f>
        <v>101.17361392148928</v>
      </c>
    </row>
    <row r="68" spans="1:21" x14ac:dyDescent="0.3">
      <c r="C68" s="221" t="s">
        <v>800</v>
      </c>
      <c r="D68" s="101">
        <f t="shared" ref="D68:D70" si="25">O71+(0.5*O75)+(O85)+(0.5*O89)+(0.5*O99)</f>
        <v>73859011.262335047</v>
      </c>
      <c r="E68" s="101">
        <f t="shared" si="24"/>
        <v>3608257.25288432</v>
      </c>
      <c r="F68" s="101">
        <f t="shared" si="24"/>
        <v>6200720.1141596008</v>
      </c>
      <c r="G68" s="101">
        <f t="shared" si="24"/>
        <v>2425982.5542370006</v>
      </c>
      <c r="L68" s="221" t="s">
        <v>889</v>
      </c>
      <c r="M68" s="224">
        <v>0.45</v>
      </c>
      <c r="N68" s="224">
        <v>0.55000000000000004</v>
      </c>
      <c r="O68" s="223" t="s">
        <v>44</v>
      </c>
      <c r="P68" s="223">
        <v>0.9778</v>
      </c>
      <c r="Q68" s="223">
        <f>1-P68</f>
        <v>2.2199999999999998E-2</v>
      </c>
      <c r="R68" s="223">
        <f>1/Q68</f>
        <v>45.04504504504505</v>
      </c>
      <c r="S68" s="221">
        <f>1-T68</f>
        <v>0.96</v>
      </c>
      <c r="T68" s="221">
        <v>0.04</v>
      </c>
      <c r="U68" s="221">
        <f>1/T68</f>
        <v>25</v>
      </c>
    </row>
    <row r="69" spans="1:21" x14ac:dyDescent="0.3">
      <c r="C69" s="221" t="s">
        <v>801</v>
      </c>
      <c r="D69" s="101">
        <f t="shared" si="25"/>
        <v>33402274.322771728</v>
      </c>
      <c r="E69" s="101">
        <f t="shared" si="24"/>
        <v>1675471.4766612556</v>
      </c>
      <c r="F69" s="101">
        <f t="shared" si="24"/>
        <v>2801434.5367763657</v>
      </c>
      <c r="G69" s="101">
        <f t="shared" si="24"/>
        <v>1099565.3252626448</v>
      </c>
      <c r="J69" s="221" t="s">
        <v>933</v>
      </c>
      <c r="K69" s="221">
        <f>SUM(K62:K67)</f>
        <v>0.13152777777777777</v>
      </c>
      <c r="L69" s="221" t="s">
        <v>890</v>
      </c>
      <c r="M69" s="224">
        <v>0.45</v>
      </c>
      <c r="N69" s="224">
        <v>0.55000000000000004</v>
      </c>
      <c r="O69" s="223" t="s">
        <v>94</v>
      </c>
      <c r="P69" s="223">
        <f>1-Q69</f>
        <v>0.990116</v>
      </c>
      <c r="Q69" s="223">
        <f>0.009884</f>
        <v>9.8840000000000004E-3</v>
      </c>
      <c r="R69" s="223">
        <f>1/Q69</f>
        <v>101.17361392148928</v>
      </c>
    </row>
    <row r="70" spans="1:21" x14ac:dyDescent="0.3">
      <c r="A70" s="101">
        <f>D65-D75</f>
        <v>7113085.0220946949</v>
      </c>
      <c r="C70" s="221" t="s">
        <v>802</v>
      </c>
      <c r="D70" s="101">
        <f t="shared" si="25"/>
        <v>7113085.0220946949</v>
      </c>
      <c r="E70" s="101">
        <f t="shared" si="24"/>
        <v>329982.55664987554</v>
      </c>
      <c r="F70" s="101">
        <f t="shared" si="24"/>
        <v>656321.81605666038</v>
      </c>
      <c r="G70" s="101">
        <f t="shared" si="24"/>
        <v>268068.47503226757</v>
      </c>
      <c r="J70" s="221" t="s">
        <v>934</v>
      </c>
      <c r="N70" s="221" t="s">
        <v>952</v>
      </c>
      <c r="O70" s="101">
        <f>($O$14*$N$66*$P66+$O$14*(1-$P66))*(1-$N60)</f>
        <v>6008328.5624999991</v>
      </c>
      <c r="P70" s="101">
        <f>($P$14*$N$67*P66+$P$14*(1-$P66))*(1-$N60)</f>
        <v>2002776.1874999998</v>
      </c>
      <c r="Q70" s="101">
        <f>($Q$14*$N$68*$P66+$Q$14*(1-$P66))*(1-$N60)</f>
        <v>1293404.0625</v>
      </c>
      <c r="R70" s="101">
        <f>($R$14*$N$69*$P66+$R$14*(1-$P66))*(1-$N60)</f>
        <v>2586.808125</v>
      </c>
    </row>
    <row r="71" spans="1:21" x14ac:dyDescent="0.3">
      <c r="A71" s="101">
        <f>A70-D70</f>
        <v>0</v>
      </c>
      <c r="C71" s="86" t="s">
        <v>1010</v>
      </c>
      <c r="N71" s="221" t="s">
        <v>782</v>
      </c>
      <c r="O71" s="101">
        <f t="shared" ref="O71:O73" si="26">($O$14*$N$66*$P67+$O$14*(1-$P67))*(1-$N61)</f>
        <v>3623761.7999999993</v>
      </c>
      <c r="P71" s="101">
        <f t="shared" ref="P71:P73" si="27">($P$14*$N$67*P67+$P$14*(1-$P67))*(1-$N61)</f>
        <v>1207920.5999999996</v>
      </c>
      <c r="Q71" s="101">
        <f t="shared" ref="Q71:Q73" si="28">($Q$14*$N$68*$P67+$Q$14*(1-$P67))*(1-$N61)</f>
        <v>746061</v>
      </c>
      <c r="R71" s="101">
        <f t="shared" ref="R71:R73" si="29">($R$14*$N$69*$P67+$R$14*(1-$P67))*(1-$N61)</f>
        <v>1492.1219999999998</v>
      </c>
    </row>
    <row r="72" spans="1:21" x14ac:dyDescent="0.3">
      <c r="C72" s="221" t="s">
        <v>976</v>
      </c>
      <c r="D72" s="101">
        <f>(0.5*O74)+O80+(0.5*O88)+(0.5*O98)</f>
        <v>125014676.20193505</v>
      </c>
      <c r="E72" s="101">
        <f t="shared" ref="E72:G75" si="30">(0.5*P74)+P80+(0.5*P88)+(0.5*P98)</f>
        <v>4109324.3940010481</v>
      </c>
      <c r="F72" s="101">
        <f t="shared" si="30"/>
        <v>10033491.12901422</v>
      </c>
      <c r="G72" s="101">
        <f t="shared" si="30"/>
        <v>3717211.7914596498</v>
      </c>
      <c r="N72" s="221" t="s">
        <v>783</v>
      </c>
      <c r="O72" s="101">
        <f t="shared" si="26"/>
        <v>1716411.5338499993</v>
      </c>
      <c r="P72" s="101">
        <f t="shared" si="27"/>
        <v>572137.17794999992</v>
      </c>
      <c r="Q72" s="101">
        <f t="shared" si="28"/>
        <v>343931.85824999993</v>
      </c>
      <c r="R72" s="101">
        <f t="shared" si="29"/>
        <v>687.8637164999999</v>
      </c>
    </row>
    <row r="73" spans="1:21" x14ac:dyDescent="0.3">
      <c r="C73" s="221" t="s">
        <v>806</v>
      </c>
      <c r="D73" s="101">
        <f t="shared" ref="D73:D75" si="31">(0.5*O75)+O81+(0.5*O89)+(0.5*O99)</f>
        <v>71400953.333135054</v>
      </c>
      <c r="E73" s="101">
        <f t="shared" si="30"/>
        <v>2408460.52368432</v>
      </c>
      <c r="F73" s="101">
        <f t="shared" si="30"/>
        <v>5666923.8841596013</v>
      </c>
      <c r="G73" s="101">
        <f t="shared" si="30"/>
        <v>2132755.2022370007</v>
      </c>
      <c r="N73" s="8" t="s">
        <v>784</v>
      </c>
      <c r="O73" s="170">
        <f t="shared" si="26"/>
        <v>270761.53518900025</v>
      </c>
      <c r="P73" s="170">
        <f t="shared" si="27"/>
        <v>90253.845063000073</v>
      </c>
      <c r="Q73" s="170">
        <f t="shared" si="28"/>
        <v>53767.575405000061</v>
      </c>
      <c r="R73" s="170">
        <f t="shared" si="29"/>
        <v>107.5351508100001</v>
      </c>
    </row>
    <row r="74" spans="1:21" x14ac:dyDescent="0.3">
      <c r="C74" s="221" t="s">
        <v>807</v>
      </c>
      <c r="D74" s="101">
        <f t="shared" si="31"/>
        <v>32110988.568869829</v>
      </c>
      <c r="E74" s="101">
        <f t="shared" si="30"/>
        <v>1100155.4786593558</v>
      </c>
      <c r="F74" s="101">
        <f t="shared" si="30"/>
        <v>2498834.8937613657</v>
      </c>
      <c r="G74" s="101">
        <f t="shared" si="30"/>
        <v>953729.67678114481</v>
      </c>
      <c r="N74" s="221" t="s">
        <v>956</v>
      </c>
      <c r="O74" s="101">
        <f>(0.5*$O$20*$N$66*(1-$N60)+0.5*$O$20*(1-$P66))</f>
        <v>213821600.77887011</v>
      </c>
      <c r="P74" s="101">
        <f>(0.5*$P$20*$N$67*(1-$N60)+0.5*$P$20*(1-$P66))</f>
        <v>2138608.4130020961</v>
      </c>
      <c r="Q74" s="101">
        <f>(0.5*$Q$20*$N$68*(1-$N60)+0.5*$Q$20*(1-$P66))</f>
        <v>187968.82052844</v>
      </c>
      <c r="R74" s="101">
        <f>(0.5*$R$20*$N$69*(1-$N60)+0.5*$R$20*(1-P66))</f>
        <v>17404.520419300003</v>
      </c>
    </row>
    <row r="75" spans="1:21" x14ac:dyDescent="0.3">
      <c r="C75" s="221" t="s">
        <v>808</v>
      </c>
      <c r="D75" s="101">
        <f t="shared" si="31"/>
        <v>7037718.2891861293</v>
      </c>
      <c r="E75" s="101">
        <f t="shared" si="30"/>
        <v>244431.50186730945</v>
      </c>
      <c r="F75" s="101">
        <f t="shared" si="30"/>
        <v>655180.74867956038</v>
      </c>
      <c r="G75" s="101">
        <f t="shared" si="30"/>
        <v>237561.84790935757</v>
      </c>
      <c r="N75" s="221" t="s">
        <v>957</v>
      </c>
      <c r="O75" s="101">
        <f t="shared" ref="O75:O77" si="32">(0.5*$O$20*$N$66*(1-$N61)+0.5*$O$20*(1-$P67))</f>
        <v>121787714.2662701</v>
      </c>
      <c r="P75" s="101">
        <f t="shared" ref="P75:P77" si="33">(0.5*$P$20*$N$67*(1-$N61)+0.5*$P$20*(1-$P67))</f>
        <v>1218100.6473686402</v>
      </c>
      <c r="Q75" s="101">
        <f t="shared" ref="Q75:Q77" si="34">(0.5*$Q$20*$N$68*(1-$N61)+0.5*$Q$20*(1-$P67))</f>
        <v>104256.76831920003</v>
      </c>
      <c r="R75" s="101">
        <f t="shared" ref="R75:R77" si="35">(0.5*$R$20*$N$69*(1-$N61)+0.5*$R$20*(1-P67))</f>
        <v>9653.4044740000027</v>
      </c>
    </row>
    <row r="76" spans="1:21" x14ac:dyDescent="0.3">
      <c r="N76" s="221" t="s">
        <v>958</v>
      </c>
      <c r="O76" s="101">
        <f t="shared" si="32"/>
        <v>54730210.618439659</v>
      </c>
      <c r="P76" s="101">
        <f t="shared" si="33"/>
        <v>547402.54701871192</v>
      </c>
      <c r="Q76" s="101">
        <f t="shared" si="34"/>
        <v>45658.331772731995</v>
      </c>
      <c r="R76" s="101">
        <f t="shared" si="35"/>
        <v>4227.6233122899994</v>
      </c>
    </row>
    <row r="77" spans="1:21" x14ac:dyDescent="0.3">
      <c r="C77" s="86"/>
      <c r="N77" s="221" t="s">
        <v>959</v>
      </c>
      <c r="O77" s="101">
        <f t="shared" si="32"/>
        <v>11799546.267570257</v>
      </c>
      <c r="P77" s="101">
        <f t="shared" si="33"/>
        <v>118017.11719261867</v>
      </c>
      <c r="Q77" s="101">
        <f t="shared" si="34"/>
        <v>11121.130804119848</v>
      </c>
      <c r="R77" s="101">
        <f t="shared" si="35"/>
        <v>1029.7343337148009</v>
      </c>
    </row>
    <row r="78" spans="1:21" x14ac:dyDescent="0.3">
      <c r="D78" s="101"/>
      <c r="E78" s="101"/>
      <c r="F78" s="101"/>
      <c r="G78" s="101"/>
      <c r="I78" s="86" t="s">
        <v>853</v>
      </c>
      <c r="O78" s="101"/>
      <c r="P78" s="101"/>
      <c r="Q78" s="101"/>
      <c r="R78" s="101"/>
    </row>
    <row r="79" spans="1:21" x14ac:dyDescent="0.3">
      <c r="C79" s="221" t="s">
        <v>982</v>
      </c>
      <c r="D79" s="184">
        <f>D75+D70</f>
        <v>14150803.311280824</v>
      </c>
      <c r="E79" s="184">
        <f t="shared" ref="E79:G79" si="36">E75+E70</f>
        <v>574414.05851718504</v>
      </c>
      <c r="F79" s="184">
        <f t="shared" si="36"/>
        <v>1311502.5647362208</v>
      </c>
      <c r="G79" s="184">
        <f t="shared" si="36"/>
        <v>505630.32294162514</v>
      </c>
      <c r="I79" s="175">
        <f>I48</f>
        <v>74962976.900000006</v>
      </c>
      <c r="J79" s="175">
        <f t="shared" ref="J79:L79" si="37">J48</f>
        <v>42806886.899999999</v>
      </c>
      <c r="K79" s="175">
        <f t="shared" si="37"/>
        <v>56463669</v>
      </c>
      <c r="L79" s="175">
        <f t="shared" si="37"/>
        <v>39426999</v>
      </c>
      <c r="M79" s="227"/>
      <c r="N79" s="8" t="s">
        <v>964</v>
      </c>
      <c r="O79" s="228" t="s">
        <v>960</v>
      </c>
      <c r="P79" s="228" t="s">
        <v>960</v>
      </c>
      <c r="Q79" s="228" t="s">
        <v>960</v>
      </c>
      <c r="R79" s="228" t="s">
        <v>960</v>
      </c>
    </row>
    <row r="80" spans="1:21" x14ac:dyDescent="0.3">
      <c r="D80" s="101"/>
      <c r="E80" s="101"/>
      <c r="F80" s="101"/>
      <c r="G80" s="101"/>
      <c r="I80" s="86" t="s">
        <v>854</v>
      </c>
      <c r="J80" s="86"/>
      <c r="M80" s="221" t="s">
        <v>980</v>
      </c>
      <c r="N80" s="221" t="s">
        <v>961</v>
      </c>
      <c r="O80" s="101">
        <f>SUM($O$23:$O$25)*(1-$P66)</f>
        <v>2537500</v>
      </c>
      <c r="P80" s="101">
        <f>SUM($P$23:$P$25)*(1-$P66)</f>
        <v>125875</v>
      </c>
      <c r="Q80" s="101">
        <f>SUM($Q$23:$Q$25)*(1-$P66)</f>
        <v>1125000</v>
      </c>
      <c r="R80" s="101">
        <f>SUM($R$23:$R$25)*(1-$P66)</f>
        <v>75000</v>
      </c>
    </row>
    <row r="81" spans="4:21" x14ac:dyDescent="0.3">
      <c r="D81" s="184">
        <f>D67+D72</f>
        <v>253585934.7987451</v>
      </c>
      <c r="E81" s="184">
        <f t="shared" ref="E81:F81" si="38">E67+E72</f>
        <v>10181303.807877097</v>
      </c>
      <c r="F81" s="184">
        <f t="shared" si="38"/>
        <v>20793513.611778438</v>
      </c>
      <c r="G81" s="199" t="s">
        <v>846</v>
      </c>
      <c r="I81" s="8" t="s">
        <v>847</v>
      </c>
      <c r="J81" s="8" t="s">
        <v>848</v>
      </c>
      <c r="K81" s="8" t="s">
        <v>849</v>
      </c>
      <c r="L81" s="8" t="s">
        <v>850</v>
      </c>
      <c r="M81" s="207"/>
      <c r="N81" s="221" t="s">
        <v>977</v>
      </c>
      <c r="O81" s="101">
        <f t="shared" ref="O81:O83" si="39">SUM($O$23:$O$25)*(1-$P67)</f>
        <v>1218000.0000000012</v>
      </c>
      <c r="P81" s="101">
        <f t="shared" ref="P81:P83" si="40">SUM($P$23:$P$25)*(1-$P67)</f>
        <v>60420.000000000051</v>
      </c>
      <c r="Q81" s="101">
        <f t="shared" ref="Q81:Q83" si="41">SUM($Q$23:$Q$25)*(1-$P67)</f>
        <v>540000.00000000047</v>
      </c>
      <c r="R81" s="101">
        <f t="shared" ref="R81:R83" si="42">SUM($R$23:$R$25)*(1-$P67)</f>
        <v>36000.000000000029</v>
      </c>
    </row>
    <row r="82" spans="4:21" x14ac:dyDescent="0.3">
      <c r="G82" s="200" t="s">
        <v>781</v>
      </c>
      <c r="I82" s="241">
        <v>1E-4</v>
      </c>
      <c r="J82" s="241">
        <v>5.9999999999999993E-6</v>
      </c>
      <c r="K82" s="241">
        <v>1.6000000000000003E-5</v>
      </c>
      <c r="L82" s="241">
        <v>2.7999999999999999E-6</v>
      </c>
      <c r="N82" s="221" t="s">
        <v>978</v>
      </c>
      <c r="O82" s="101">
        <f t="shared" si="39"/>
        <v>450659.99999999994</v>
      </c>
      <c r="P82" s="101">
        <f t="shared" si="40"/>
        <v>22355.399999999998</v>
      </c>
      <c r="Q82" s="101">
        <f t="shared" si="41"/>
        <v>199799.99999999997</v>
      </c>
      <c r="R82" s="101">
        <f t="shared" si="42"/>
        <v>13319.999999999998</v>
      </c>
    </row>
    <row r="83" spans="4:21" x14ac:dyDescent="0.3">
      <c r="G83" s="200" t="s">
        <v>44</v>
      </c>
      <c r="I83" s="241">
        <v>3.1250000000000001E-4</v>
      </c>
      <c r="J83" s="241">
        <v>1.8749999999999998E-5</v>
      </c>
      <c r="K83" s="241">
        <v>5.0000000000000002E-5</v>
      </c>
      <c r="L83" s="241">
        <v>8.7499999999999992E-6</v>
      </c>
      <c r="N83" s="8" t="s">
        <v>979</v>
      </c>
      <c r="O83" s="170">
        <f t="shared" si="39"/>
        <v>200645.20000000007</v>
      </c>
      <c r="P83" s="170">
        <f t="shared" si="40"/>
        <v>9953.1880000000037</v>
      </c>
      <c r="Q83" s="170">
        <f t="shared" si="41"/>
        <v>88956.000000000029</v>
      </c>
      <c r="R83" s="170">
        <f t="shared" si="42"/>
        <v>5930.4000000000024</v>
      </c>
    </row>
    <row r="84" spans="4:21" x14ac:dyDescent="0.3">
      <c r="G84" s="200" t="s">
        <v>94</v>
      </c>
      <c r="I84" s="241">
        <v>5.0000000000000001E-4</v>
      </c>
      <c r="J84" s="241">
        <v>2.9999999999999997E-5</v>
      </c>
      <c r="K84" s="241">
        <v>8.0000000000000007E-5</v>
      </c>
      <c r="L84" s="241">
        <v>1.4E-5</v>
      </c>
      <c r="M84" s="221" t="s">
        <v>981</v>
      </c>
      <c r="N84" s="221" t="s">
        <v>962</v>
      </c>
      <c r="O84" s="215">
        <f>(1-$N60)*(O$26*$N$66*$P66+O$26*(1-$P66))+O$26*0.005+19.3*47*0.1</f>
        <v>85753.832374999998</v>
      </c>
      <c r="P84" s="215">
        <f>(1-$N60)*(P$26*$N$67*$P66+P$26*(1-$P66))+P$26*0.005+19.3*47*0.1</f>
        <v>85753.832374999998</v>
      </c>
      <c r="Q84" s="215">
        <f>(1-$N60)*(Q$26*$N$68*$P66+Q$26*(1-$P66))+Q$26*0.005+19.3*47*0.1</f>
        <v>558127.29125000001</v>
      </c>
      <c r="R84" s="215">
        <f>(1-$N60)*(R$26*$N$69*$P66+R$26*(1-$P66))+R$26*0.005+19.3*47*0.1</f>
        <v>558127.29125000001</v>
      </c>
      <c r="S84" s="221" t="s">
        <v>923</v>
      </c>
      <c r="U84" s="221">
        <f>19.3*47*1</f>
        <v>907.1</v>
      </c>
    </row>
    <row r="85" spans="4:21" x14ac:dyDescent="0.3">
      <c r="G85" s="145" t="s">
        <v>886</v>
      </c>
      <c r="I85" s="241">
        <v>1.25E-3</v>
      </c>
      <c r="J85" s="241">
        <v>7.4999999999999993E-5</v>
      </c>
      <c r="K85" s="241">
        <v>2.0000000000000001E-4</v>
      </c>
      <c r="L85" s="241">
        <v>3.4999999999999997E-5</v>
      </c>
      <c r="N85" s="221" t="s">
        <v>785</v>
      </c>
      <c r="O85" s="215">
        <f t="shared" ref="O85:O87" si="43">(1-$N61)*(O$26*$N$66*$P67+O$26*(1-$P67))+O$26*0.005+19.3*47*0.1</f>
        <v>52296.129199999996</v>
      </c>
      <c r="P85" s="215">
        <f t="shared" ref="P85:P87" si="44">(1-$N61)*(P$26*$N$67*$P67+P$26*(1-$P67))+P$26*0.005+19.3*47*0.1</f>
        <v>52296.129199999996</v>
      </c>
      <c r="Q85" s="215">
        <f t="shared" ref="Q85:Q87" si="45">(1-$N61)*(Q$26*$N$68*$P67+Q$26*(1-$P67))+Q$26*0.005+19.3*47*0.1</f>
        <v>327735.23000000004</v>
      </c>
      <c r="R85" s="215">
        <f t="shared" ref="R85:R87" si="46">(1-$N61)*(R$26*$N$69*$P67+R$26*(1-$P67))+R$26*0.005+19.3*47*0.1</f>
        <v>327735.23000000004</v>
      </c>
      <c r="S85" s="221" t="s">
        <v>924</v>
      </c>
    </row>
    <row r="86" spans="4:21" x14ac:dyDescent="0.3">
      <c r="I86" s="86" t="s">
        <v>851</v>
      </c>
      <c r="N86" s="221" t="s">
        <v>963</v>
      </c>
      <c r="O86" s="215">
        <f t="shared" si="43"/>
        <v>25534.220051899996</v>
      </c>
      <c r="P86" s="215">
        <f t="shared" si="44"/>
        <v>25534.220051899996</v>
      </c>
      <c r="Q86" s="215">
        <f t="shared" si="45"/>
        <v>158467.78476499996</v>
      </c>
      <c r="R86" s="215">
        <f t="shared" si="46"/>
        <v>158467.78476499996</v>
      </c>
      <c r="S86" s="221" t="s">
        <v>925</v>
      </c>
    </row>
    <row r="87" spans="4:21" x14ac:dyDescent="0.3">
      <c r="I87" s="8" t="s">
        <v>852</v>
      </c>
      <c r="J87" s="8"/>
      <c r="K87" s="8"/>
      <c r="L87" s="8"/>
      <c r="M87" s="207"/>
      <c r="N87" s="8" t="s">
        <v>786</v>
      </c>
      <c r="O87" s="229">
        <f t="shared" si="43"/>
        <v>5250.3977195660036</v>
      </c>
      <c r="P87" s="229">
        <f t="shared" si="44"/>
        <v>5250.3977195660036</v>
      </c>
      <c r="Q87" s="229">
        <f t="shared" si="45"/>
        <v>36329.491972100026</v>
      </c>
      <c r="R87" s="229">
        <f t="shared" si="46"/>
        <v>36329.491972100026</v>
      </c>
    </row>
    <row r="88" spans="4:21" x14ac:dyDescent="0.3">
      <c r="I88" s="101">
        <f>$I82*I$53</f>
        <v>7496.2976900000012</v>
      </c>
      <c r="J88" s="101">
        <f t="shared" ref="J88:L88" si="47">$I82*J$53</f>
        <v>4280.68869</v>
      </c>
      <c r="K88" s="101">
        <f t="shared" si="47"/>
        <v>5646.3669</v>
      </c>
      <c r="L88" s="101">
        <f t="shared" si="47"/>
        <v>3942.6999000000001</v>
      </c>
      <c r="M88" s="101"/>
      <c r="N88" s="221" t="s">
        <v>787</v>
      </c>
      <c r="O88" s="101">
        <f>(0.5*O$27*$N$66*$P66*(1-$N60)+ 0.5*O$27*(1-$P66))</f>
        <v>196768.74999999997</v>
      </c>
      <c r="P88" s="101">
        <f>(0.5*P$27*$N$67*$P66*(1-$N60)+ 0.5*P$27*(1-$P66))</f>
        <v>19676.875</v>
      </c>
      <c r="Q88" s="101">
        <f>(0.5*Q$27*$N$68*$P66*(1-$N60)+ 0.5*Q$27*(1-$P66))</f>
        <v>1419062.5</v>
      </c>
      <c r="R88" s="101">
        <f>(0.5*R$27*$N$69*$P66*(1-$N60)+ 0.5*R$27*(1-$P66))</f>
        <v>141906.25</v>
      </c>
    </row>
    <row r="89" spans="4:21" x14ac:dyDescent="0.3">
      <c r="I89" s="101">
        <f t="shared" ref="I89:L91" si="48">$I83*I$53</f>
        <v>23425.930281250003</v>
      </c>
      <c r="J89" s="101">
        <f t="shared" si="48"/>
        <v>13377.15215625</v>
      </c>
      <c r="K89" s="101">
        <f t="shared" si="48"/>
        <v>17644.896562500002</v>
      </c>
      <c r="L89" s="101">
        <f t="shared" si="48"/>
        <v>12320.9371875</v>
      </c>
      <c r="M89" s="101"/>
      <c r="N89" s="221" t="s">
        <v>788</v>
      </c>
      <c r="O89" s="101">
        <f t="shared" ref="O89:O91" si="49">(0.5*O$27*$N$66*$P67*(1-$N61)+ 0.5*O$27*(1-$P67))</f>
        <v>117420.00000000001</v>
      </c>
      <c r="P89" s="101">
        <f t="shared" ref="P89:P91" si="50">(0.5*P$27*$N$67*$P67*(1-$N61)+ 0.5*P$27*(1-$P67))</f>
        <v>11742</v>
      </c>
      <c r="Q89" s="101">
        <f t="shared" ref="Q89:Q91" si="51">(0.5*Q$27*$N$68*$P67*(1-$N61)+ 0.5*Q$27*(1-$P67))</f>
        <v>817000.00000000023</v>
      </c>
      <c r="R89" s="101">
        <f t="shared" ref="R89:R91" si="52">(0.5*R$27*$N$69*$P67*(1-$N61)+ 0.5*R$27*(1-$P67))</f>
        <v>81700.000000000015</v>
      </c>
    </row>
    <row r="90" spans="4:21" x14ac:dyDescent="0.3">
      <c r="I90" s="195">
        <f t="shared" si="48"/>
        <v>37481.488450000004</v>
      </c>
      <c r="J90" s="195">
        <f t="shared" si="48"/>
        <v>21403.443449999999</v>
      </c>
      <c r="K90" s="195">
        <f t="shared" si="48"/>
        <v>28231.834500000001</v>
      </c>
      <c r="L90" s="195">
        <f t="shared" si="48"/>
        <v>19713.499500000002</v>
      </c>
      <c r="M90" s="195"/>
      <c r="N90" s="221" t="s">
        <v>789</v>
      </c>
      <c r="O90" s="101">
        <f t="shared" si="49"/>
        <v>54294.314999999988</v>
      </c>
      <c r="P90" s="101">
        <f t="shared" si="50"/>
        <v>5429.4314999999988</v>
      </c>
      <c r="Q90" s="101">
        <f t="shared" si="51"/>
        <v>366450.24999999994</v>
      </c>
      <c r="R90" s="101">
        <f t="shared" si="52"/>
        <v>36645.024999999994</v>
      </c>
    </row>
    <row r="91" spans="4:21" x14ac:dyDescent="0.3">
      <c r="I91" s="232">
        <f t="shared" si="48"/>
        <v>93703.721125000011</v>
      </c>
      <c r="J91" s="232">
        <f t="shared" si="48"/>
        <v>53508.608625000001</v>
      </c>
      <c r="K91" s="232">
        <f t="shared" si="48"/>
        <v>70579.586250000008</v>
      </c>
      <c r="L91" s="232">
        <f t="shared" si="48"/>
        <v>49283.748749999999</v>
      </c>
      <c r="N91" s="8" t="s">
        <v>789</v>
      </c>
      <c r="O91" s="101">
        <f t="shared" si="49"/>
        <v>11848.059100000008</v>
      </c>
      <c r="P91" s="101">
        <f t="shared" si="50"/>
        <v>1184.8059100000007</v>
      </c>
      <c r="Q91" s="101">
        <f t="shared" si="51"/>
        <v>90262.285000000062</v>
      </c>
      <c r="R91" s="101">
        <f t="shared" si="52"/>
        <v>9026.2285000000047</v>
      </c>
    </row>
    <row r="92" spans="4:21" x14ac:dyDescent="0.3">
      <c r="O92" s="101"/>
      <c r="P92" s="101"/>
      <c r="Q92" s="101"/>
      <c r="R92" s="101"/>
    </row>
    <row r="93" spans="4:21" x14ac:dyDescent="0.3">
      <c r="I93" s="8" t="s">
        <v>941</v>
      </c>
      <c r="J93" s="8"/>
      <c r="K93" s="8"/>
      <c r="L93" s="8"/>
      <c r="M93" s="207"/>
      <c r="O93" s="101"/>
      <c r="P93" s="101"/>
      <c r="Q93" s="101"/>
      <c r="R93" s="101"/>
    </row>
    <row r="94" spans="4:21" x14ac:dyDescent="0.3">
      <c r="I94" s="101">
        <f t="shared" ref="I94:L97" si="53">$K82*I$53</f>
        <v>1199.4076304000002</v>
      </c>
      <c r="J94" s="101">
        <f t="shared" si="53"/>
        <v>684.91019040000015</v>
      </c>
      <c r="K94" s="101">
        <f t="shared" si="53"/>
        <v>903.41870400000016</v>
      </c>
      <c r="L94" s="101">
        <f t="shared" si="53"/>
        <v>630.83198400000015</v>
      </c>
      <c r="M94" s="101"/>
      <c r="O94" s="101"/>
      <c r="P94" s="101"/>
      <c r="Q94" s="101"/>
      <c r="R94" s="101"/>
    </row>
    <row r="95" spans="4:21" x14ac:dyDescent="0.3">
      <c r="I95" s="101">
        <f t="shared" si="53"/>
        <v>3748.1488450000006</v>
      </c>
      <c r="J95" s="101">
        <f t="shared" si="53"/>
        <v>2140.344345</v>
      </c>
      <c r="K95" s="101">
        <f t="shared" si="53"/>
        <v>2823.18345</v>
      </c>
      <c r="L95" s="101">
        <f t="shared" si="53"/>
        <v>1971.34995</v>
      </c>
      <c r="M95" s="101"/>
      <c r="O95" s="101"/>
      <c r="P95" s="101"/>
      <c r="Q95" s="101"/>
      <c r="R95" s="101"/>
    </row>
    <row r="96" spans="4:21" x14ac:dyDescent="0.3">
      <c r="I96" s="101">
        <f t="shared" si="53"/>
        <v>5997.038152000001</v>
      </c>
      <c r="J96" s="101">
        <f t="shared" si="53"/>
        <v>3424.5509520000001</v>
      </c>
      <c r="K96" s="101">
        <f t="shared" si="53"/>
        <v>4517.0935200000004</v>
      </c>
      <c r="L96" s="101">
        <f t="shared" si="53"/>
        <v>3154.1599200000001</v>
      </c>
      <c r="M96" s="101"/>
      <c r="O96" s="101"/>
      <c r="P96" s="101"/>
      <c r="Q96" s="101"/>
      <c r="R96" s="101"/>
    </row>
    <row r="97" spans="7:22" x14ac:dyDescent="0.3">
      <c r="I97" s="101">
        <f t="shared" si="53"/>
        <v>14992.595380000002</v>
      </c>
      <c r="J97" s="101">
        <f t="shared" si="53"/>
        <v>8561.3773799999999</v>
      </c>
      <c r="K97" s="101">
        <f t="shared" si="53"/>
        <v>11292.7338</v>
      </c>
      <c r="L97" s="101">
        <f t="shared" si="53"/>
        <v>7885.3998000000001</v>
      </c>
      <c r="N97" s="221" t="s">
        <v>967</v>
      </c>
      <c r="O97" s="101"/>
      <c r="P97" s="101"/>
      <c r="Q97" s="101"/>
      <c r="R97" s="101"/>
    </row>
    <row r="98" spans="7:22" x14ac:dyDescent="0.3">
      <c r="G98" s="221" t="s">
        <v>942</v>
      </c>
      <c r="I98" s="184">
        <f>AVERAGE(I89, I90, I95, I96)</f>
        <v>17663.151432062503</v>
      </c>
      <c r="J98" s="184">
        <f t="shared" ref="J98:L98" si="54">AVERAGE(J89, J90, J95, J96)</f>
        <v>10086.372725812498</v>
      </c>
      <c r="K98" s="184">
        <f t="shared" si="54"/>
        <v>13304.252008125</v>
      </c>
      <c r="L98" s="184">
        <f t="shared" si="54"/>
        <v>9289.9866393749999</v>
      </c>
      <c r="M98" s="184"/>
      <c r="N98" s="230" t="s">
        <v>803</v>
      </c>
      <c r="O98" s="231">
        <f t="shared" ref="O98:O100" si="55">(0.5*SUM(O$30:O$45)*$N$66*$P66*(1-$N60)+0.5*SUM(O$30:O$45)*(1-$P66))</f>
        <v>30935982.874999996</v>
      </c>
      <c r="P98" s="231">
        <f>(0.5*SUM(P$30:P$45)*$N$67*$P66*(1-$N60)+0.5*SUM(P$30:P$45)*(1-$P66))</f>
        <v>5808613.5</v>
      </c>
      <c r="Q98" s="231">
        <f>(0.5*SUM(Q$30:Q$45)*$N$68*$P66*(1-$N60)+0.5*SUM(Q$30:Q$45)*(1-$P66))</f>
        <v>16209950.9375</v>
      </c>
      <c r="R98" s="231">
        <f>(0.5*SUM(R$30:R$45)*$N$69*$P66*(1-$N60)+0.5*SUM(R$30:R$45)*(1-$P66))</f>
        <v>7125112.8125</v>
      </c>
    </row>
    <row r="99" spans="7:22" x14ac:dyDescent="0.3">
      <c r="N99" s="230" t="s">
        <v>803</v>
      </c>
      <c r="O99" s="231">
        <f t="shared" si="55"/>
        <v>18460772.399999999</v>
      </c>
      <c r="P99" s="231">
        <f t="shared" ref="P99:P101" si="56">(0.5*SUM(P$30:P$45)*$N$67*$P67*(1-$N61)+0.5*SUM(P$30:P$45)*(1-$P67))</f>
        <v>3466238.4000000004</v>
      </c>
      <c r="Q99" s="231">
        <f t="shared" ref="Q99:Q101" si="57">(0.5*SUM(Q$30:Q$45)*$N$68*$P67*(1-$N61)+0.5*SUM(Q$30:Q$45)*(1-$P67))</f>
        <v>9332591.0000000019</v>
      </c>
      <c r="R99" s="231">
        <f t="shared" ref="R99:R101" si="58">(0.5*SUM(R$30:R$45)*$N$69*$P67*(1-$N61)+0.5*SUM(R$30:R$45)*(1-$P67))</f>
        <v>4102157.0000000014</v>
      </c>
    </row>
    <row r="100" spans="7:22" x14ac:dyDescent="0.3">
      <c r="I100" s="86" t="s">
        <v>860</v>
      </c>
      <c r="N100" s="230" t="s">
        <v>804</v>
      </c>
      <c r="O100" s="231">
        <f t="shared" si="55"/>
        <v>8536152.2042999975</v>
      </c>
      <c r="P100" s="231">
        <f t="shared" si="56"/>
        <v>1602768.1787999996</v>
      </c>
      <c r="Q100" s="231">
        <f t="shared" si="57"/>
        <v>4185961.2057499997</v>
      </c>
      <c r="R100" s="231">
        <f t="shared" si="58"/>
        <v>1839946.7052499996</v>
      </c>
    </row>
    <row r="101" spans="7:22" x14ac:dyDescent="0.3">
      <c r="G101" s="199" t="s">
        <v>846</v>
      </c>
      <c r="I101" s="202" t="s">
        <v>847</v>
      </c>
      <c r="J101" s="203" t="s">
        <v>848</v>
      </c>
      <c r="K101" s="203" t="s">
        <v>849</v>
      </c>
      <c r="L101" s="203" t="s">
        <v>850</v>
      </c>
      <c r="M101" s="226"/>
      <c r="N101" s="230" t="s">
        <v>805</v>
      </c>
      <c r="O101" s="231">
        <f>(0.5*SUM(O$30:O$45)*$N$66*$P69*(1-$N63)+0.5*SUM(O$30:O$45)*(1-$P69))</f>
        <v>1862751.8517020014</v>
      </c>
      <c r="P101" s="231">
        <f t="shared" si="56"/>
        <v>349754.70463200024</v>
      </c>
      <c r="Q101" s="231">
        <f t="shared" si="57"/>
        <v>1031066.0815550007</v>
      </c>
      <c r="R101" s="231">
        <f t="shared" si="58"/>
        <v>453206.93298500031</v>
      </c>
    </row>
    <row r="102" spans="7:22" x14ac:dyDescent="0.3">
      <c r="G102" s="200" t="s">
        <v>781</v>
      </c>
      <c r="I102" s="201">
        <v>1.8333333333333334E-4</v>
      </c>
      <c r="J102" s="241">
        <v>1.1E-5</v>
      </c>
      <c r="K102" s="201">
        <v>2.9333333333333336E-5</v>
      </c>
      <c r="L102" s="201">
        <v>5.133333333333333E-6</v>
      </c>
      <c r="M102" s="201"/>
      <c r="O102" s="101"/>
      <c r="P102" s="101"/>
      <c r="Q102" s="101"/>
      <c r="R102" s="101"/>
    </row>
    <row r="103" spans="7:22" x14ac:dyDescent="0.3">
      <c r="G103" s="200" t="s">
        <v>44</v>
      </c>
      <c r="I103" s="201">
        <v>5.6250000000000007E-4</v>
      </c>
      <c r="J103" s="241">
        <v>3.375E-5</v>
      </c>
      <c r="K103" s="241">
        <v>9.0000000000000006E-5</v>
      </c>
      <c r="L103" s="241">
        <v>1.575E-5</v>
      </c>
      <c r="O103" s="101"/>
      <c r="P103" s="101"/>
      <c r="Q103" s="101"/>
      <c r="R103" s="101"/>
      <c r="V103" s="221">
        <f>0.125*1000*1.015/8760</f>
        <v>1.4483447488584473E-2</v>
      </c>
    </row>
    <row r="104" spans="7:22" x14ac:dyDescent="0.3">
      <c r="G104" s="200" t="s">
        <v>94</v>
      </c>
      <c r="I104" s="201">
        <v>1E-3</v>
      </c>
      <c r="J104" s="241">
        <v>5.9999999999999995E-5</v>
      </c>
      <c r="K104" s="241">
        <v>1.6000000000000001E-4</v>
      </c>
      <c r="L104" s="241">
        <v>2.8E-5</v>
      </c>
      <c r="N104" s="247"/>
      <c r="O104" s="101"/>
      <c r="P104" s="101"/>
      <c r="Q104" s="101"/>
      <c r="R104" s="101"/>
      <c r="V104" s="221">
        <f>0.918*1000*1.015/8760</f>
        <v>0.10636643835616437</v>
      </c>
    </row>
    <row r="105" spans="7:22" x14ac:dyDescent="0.3">
      <c r="G105" s="145" t="s">
        <v>886</v>
      </c>
      <c r="I105" s="241">
        <v>1.25E-3</v>
      </c>
      <c r="J105" s="241">
        <v>7.4999999999999993E-5</v>
      </c>
      <c r="K105" s="241">
        <v>2.0000000000000001E-4</v>
      </c>
      <c r="L105" s="241">
        <v>3.4999999999999997E-5</v>
      </c>
      <c r="O105" s="101"/>
      <c r="P105" s="101"/>
      <c r="Q105" s="101"/>
      <c r="R105" s="101"/>
    </row>
    <row r="106" spans="7:22" x14ac:dyDescent="0.3">
      <c r="I106" s="86" t="s">
        <v>859</v>
      </c>
      <c r="O106" s="101"/>
      <c r="P106" s="101"/>
      <c r="Q106" s="101"/>
      <c r="R106" s="101"/>
    </row>
    <row r="107" spans="7:22" x14ac:dyDescent="0.3">
      <c r="I107" s="8" t="s">
        <v>852</v>
      </c>
      <c r="J107" s="8"/>
      <c r="K107" s="8"/>
      <c r="L107" s="8"/>
      <c r="M107" s="207"/>
      <c r="O107" s="101"/>
      <c r="P107" s="101"/>
      <c r="Q107" s="101"/>
      <c r="R107" s="101"/>
    </row>
    <row r="108" spans="7:22" x14ac:dyDescent="0.3">
      <c r="I108" s="101">
        <f>$I102*I$53</f>
        <v>13743.212431666669</v>
      </c>
      <c r="J108" s="101">
        <f t="shared" ref="J108:L108" si="59">$I102*J$53</f>
        <v>7847.9292649999998</v>
      </c>
      <c r="K108" s="101">
        <f t="shared" si="59"/>
        <v>10351.67265</v>
      </c>
      <c r="L108" s="101">
        <f t="shared" si="59"/>
        <v>7228.2831500000002</v>
      </c>
      <c r="M108" s="101"/>
      <c r="O108" s="101"/>
      <c r="P108" s="101"/>
      <c r="Q108" s="101"/>
      <c r="R108" s="101"/>
    </row>
    <row r="109" spans="7:22" x14ac:dyDescent="0.3">
      <c r="I109" s="101">
        <f t="shared" ref="I109:L111" si="60">$I103*I$53</f>
        <v>42166.674506250005</v>
      </c>
      <c r="J109" s="101">
        <f t="shared" si="60"/>
        <v>24078.873881250001</v>
      </c>
      <c r="K109" s="101">
        <f t="shared" si="60"/>
        <v>31760.813812500004</v>
      </c>
      <c r="L109" s="101">
        <f t="shared" si="60"/>
        <v>22177.686937500002</v>
      </c>
      <c r="M109" s="101"/>
      <c r="O109" s="101"/>
      <c r="P109" s="101"/>
      <c r="Q109" s="101"/>
      <c r="R109" s="101"/>
    </row>
    <row r="110" spans="7:22" x14ac:dyDescent="0.3">
      <c r="I110" s="195">
        <f t="shared" si="60"/>
        <v>74962.976900000009</v>
      </c>
      <c r="J110" s="195">
        <f t="shared" si="60"/>
        <v>42806.886899999998</v>
      </c>
      <c r="K110" s="195">
        <f t="shared" si="60"/>
        <v>56463.669000000002</v>
      </c>
      <c r="L110" s="195">
        <f t="shared" si="60"/>
        <v>39426.999000000003</v>
      </c>
      <c r="M110" s="195"/>
      <c r="N110" s="221" t="s">
        <v>965</v>
      </c>
      <c r="O110" s="101"/>
      <c r="P110" s="101"/>
      <c r="Q110" s="101"/>
      <c r="R110" s="101"/>
    </row>
    <row r="111" spans="7:22" x14ac:dyDescent="0.3">
      <c r="I111" s="232">
        <f t="shared" si="60"/>
        <v>93703.721125000011</v>
      </c>
      <c r="J111" s="232">
        <f t="shared" si="60"/>
        <v>53508.608625000001</v>
      </c>
      <c r="K111" s="232">
        <f t="shared" si="60"/>
        <v>70579.586250000008</v>
      </c>
      <c r="L111" s="232">
        <f t="shared" si="60"/>
        <v>49283.748749999999</v>
      </c>
      <c r="N111" s="221" t="s">
        <v>966</v>
      </c>
      <c r="O111" s="175">
        <f>O70+O74+O80+O84+O88+O98</f>
        <v>253585934.7987451</v>
      </c>
      <c r="P111" s="175">
        <f t="shared" ref="P111:R111" si="61">P70+P74+P80+P84+P88+P98</f>
        <v>10181303.807877097</v>
      </c>
      <c r="Q111" s="175">
        <f t="shared" si="61"/>
        <v>20793513.611778438</v>
      </c>
      <c r="R111" s="175">
        <f t="shared" si="61"/>
        <v>7920137.6822942998</v>
      </c>
    </row>
    <row r="112" spans="7:22" x14ac:dyDescent="0.3">
      <c r="I112" s="8" t="s">
        <v>941</v>
      </c>
      <c r="J112" s="8"/>
      <c r="K112" s="8"/>
      <c r="L112" s="8"/>
      <c r="N112" s="221" t="s">
        <v>793</v>
      </c>
      <c r="O112" s="175">
        <f t="shared" ref="O112:R114" si="62">O71+O75+O81+O85+O89+O99</f>
        <v>145259964.5954701</v>
      </c>
      <c r="P112" s="175">
        <f t="shared" si="62"/>
        <v>6016717.77656864</v>
      </c>
      <c r="Q112" s="175">
        <f t="shared" si="62"/>
        <v>11867643.998319203</v>
      </c>
      <c r="R112" s="175">
        <f t="shared" si="62"/>
        <v>4558737.7564740013</v>
      </c>
    </row>
    <row r="113" spans="7:18" x14ac:dyDescent="0.3">
      <c r="I113" s="208">
        <f>$K102*I$53</f>
        <v>2198.913989066667</v>
      </c>
      <c r="J113" s="208">
        <f t="shared" ref="J113:L113" si="63">$K102*J$53</f>
        <v>1255.6686824000001</v>
      </c>
      <c r="K113" s="208">
        <f t="shared" si="63"/>
        <v>1656.2676240000001</v>
      </c>
      <c r="L113" s="208">
        <f t="shared" si="63"/>
        <v>1156.525304</v>
      </c>
      <c r="M113" s="207"/>
      <c r="N113" s="221" t="s">
        <v>794</v>
      </c>
      <c r="O113" s="175">
        <f t="shared" si="62"/>
        <v>65513262.891641557</v>
      </c>
      <c r="P113" s="175">
        <f t="shared" si="62"/>
        <v>2775626.9553206116</v>
      </c>
      <c r="Q113" s="175">
        <f t="shared" si="62"/>
        <v>5300269.4305377314</v>
      </c>
      <c r="R113" s="175">
        <f t="shared" si="62"/>
        <v>2053295.0020437897</v>
      </c>
    </row>
    <row r="114" spans="7:18" x14ac:dyDescent="0.3">
      <c r="I114" s="208">
        <f t="shared" ref="I114:L116" si="64">$K103*I$53</f>
        <v>6746.6679210000011</v>
      </c>
      <c r="J114" s="208">
        <f t="shared" si="64"/>
        <v>3852.6198210000002</v>
      </c>
      <c r="K114" s="208">
        <f t="shared" si="64"/>
        <v>5081.7302100000006</v>
      </c>
      <c r="L114" s="208">
        <f t="shared" si="64"/>
        <v>3548.4299100000003</v>
      </c>
      <c r="M114" s="101"/>
      <c r="N114" s="221" t="s">
        <v>795</v>
      </c>
      <c r="O114" s="175">
        <f t="shared" si="62"/>
        <v>14150803.311280824</v>
      </c>
      <c r="P114" s="175">
        <f t="shared" si="62"/>
        <v>574414.05851718504</v>
      </c>
      <c r="Q114" s="175">
        <f t="shared" si="62"/>
        <v>1311502.5647362208</v>
      </c>
      <c r="R114" s="175">
        <f t="shared" si="62"/>
        <v>505630.32294162514</v>
      </c>
    </row>
    <row r="115" spans="7:18" x14ac:dyDescent="0.3">
      <c r="I115" s="208">
        <f t="shared" si="64"/>
        <v>11994.076304000002</v>
      </c>
      <c r="J115" s="208">
        <f t="shared" si="64"/>
        <v>6849.1019040000001</v>
      </c>
      <c r="K115" s="208">
        <f t="shared" si="64"/>
        <v>9034.1870400000007</v>
      </c>
      <c r="L115" s="208">
        <f t="shared" si="64"/>
        <v>6308.3198400000001</v>
      </c>
      <c r="M115" s="101"/>
      <c r="O115" s="101"/>
      <c r="P115" s="101"/>
      <c r="Q115" s="101"/>
      <c r="R115" s="101"/>
    </row>
    <row r="116" spans="7:18" x14ac:dyDescent="0.3">
      <c r="I116" s="208">
        <f t="shared" si="64"/>
        <v>14992.595380000002</v>
      </c>
      <c r="J116" s="208">
        <f t="shared" si="64"/>
        <v>8561.3773799999999</v>
      </c>
      <c r="K116" s="208">
        <f t="shared" si="64"/>
        <v>11292.7338</v>
      </c>
      <c r="L116" s="208">
        <f t="shared" si="64"/>
        <v>7885.3998000000001</v>
      </c>
      <c r="M116" s="101"/>
      <c r="N116" s="221" t="s">
        <v>841</v>
      </c>
      <c r="O116" s="101"/>
      <c r="P116" s="101"/>
      <c r="Q116" s="101"/>
      <c r="R116" s="101"/>
    </row>
    <row r="117" spans="7:18" x14ac:dyDescent="0.3">
      <c r="G117" s="221" t="s">
        <v>942</v>
      </c>
      <c r="I117" s="184">
        <f>AVERAGE(I109, I110, I115, I116)</f>
        <v>36029.080772562505</v>
      </c>
      <c r="J117" s="184">
        <f t="shared" ref="J117:L117" si="65">AVERAGE(J109, J110, J115, J116)</f>
        <v>20574.060016312498</v>
      </c>
      <c r="K117" s="184">
        <f t="shared" si="65"/>
        <v>27137.850913125003</v>
      </c>
      <c r="L117" s="184">
        <f t="shared" si="65"/>
        <v>18949.601394375</v>
      </c>
      <c r="M117" s="184"/>
      <c r="N117" s="221" t="s">
        <v>968</v>
      </c>
      <c r="O117" s="190">
        <f>O$14-O70</f>
        <v>13386671.4375</v>
      </c>
      <c r="P117" s="190">
        <f t="shared" ref="P117:R118" si="66">P$14-P70</f>
        <v>4462223.8125</v>
      </c>
      <c r="Q117" s="190">
        <f t="shared" si="66"/>
        <v>5171595.9375</v>
      </c>
      <c r="R117" s="190">
        <f t="shared" si="66"/>
        <v>10343.191875</v>
      </c>
    </row>
    <row r="118" spans="7:18" x14ac:dyDescent="0.3">
      <c r="K118" s="101"/>
      <c r="L118" s="101"/>
      <c r="M118" s="101"/>
      <c r="N118" s="221" t="s">
        <v>782</v>
      </c>
      <c r="O118" s="190">
        <f>O$14-O71</f>
        <v>15771238.200000001</v>
      </c>
      <c r="P118" s="190">
        <f t="shared" si="66"/>
        <v>5257079.4000000004</v>
      </c>
      <c r="Q118" s="190">
        <f t="shared" si="66"/>
        <v>5718939</v>
      </c>
      <c r="R118" s="190">
        <f t="shared" si="66"/>
        <v>11437.878000000001</v>
      </c>
    </row>
    <row r="119" spans="7:18" x14ac:dyDescent="0.3">
      <c r="K119" s="101">
        <f>O14</f>
        <v>19395000</v>
      </c>
      <c r="L119" s="101">
        <f>O71+O118</f>
        <v>19395000</v>
      </c>
      <c r="N119" s="221" t="s">
        <v>783</v>
      </c>
      <c r="O119" s="190">
        <f t="shared" ref="O119:R120" si="67">O$14-O72</f>
        <v>17678588.466150001</v>
      </c>
      <c r="P119" s="190">
        <f t="shared" si="67"/>
        <v>5892862.8220499996</v>
      </c>
      <c r="Q119" s="190">
        <f t="shared" si="67"/>
        <v>6121068.1417500004</v>
      </c>
      <c r="R119" s="190">
        <f t="shared" si="67"/>
        <v>12242.1362835</v>
      </c>
    </row>
    <row r="120" spans="7:18" x14ac:dyDescent="0.3">
      <c r="N120" s="8" t="s">
        <v>784</v>
      </c>
      <c r="O120" s="228">
        <f t="shared" si="67"/>
        <v>19124238.464811001</v>
      </c>
      <c r="P120" s="228">
        <f t="shared" si="67"/>
        <v>6374746.154937</v>
      </c>
      <c r="Q120" s="228">
        <f t="shared" si="67"/>
        <v>6411232.4245950002</v>
      </c>
      <c r="R120" s="228">
        <f t="shared" si="67"/>
        <v>12822.464849190001</v>
      </c>
    </row>
    <row r="121" spans="7:18" x14ac:dyDescent="0.3">
      <c r="N121" s="221" t="s">
        <v>956</v>
      </c>
      <c r="O121" s="190">
        <f t="shared" ref="O121:R123" si="68">O$20-O74</f>
        <v>776322417.64608991</v>
      </c>
      <c r="P121" s="190">
        <f t="shared" si="68"/>
        <v>7764648.8826779053</v>
      </c>
      <c r="Q121" s="190">
        <f t="shared" si="68"/>
        <v>1038581.3949915601</v>
      </c>
      <c r="R121" s="190">
        <f t="shared" si="68"/>
        <v>96164.943980700016</v>
      </c>
    </row>
    <row r="122" spans="7:18" x14ac:dyDescent="0.3">
      <c r="K122" s="101">
        <f>0.5*O20</f>
        <v>495072009.21248001</v>
      </c>
      <c r="L122" s="101">
        <f>O122+O75</f>
        <v>990144018.42496014</v>
      </c>
      <c r="M122" s="101"/>
      <c r="N122" s="221" t="s">
        <v>957</v>
      </c>
      <c r="O122" s="190">
        <f t="shared" si="68"/>
        <v>868356304.15868998</v>
      </c>
      <c r="P122" s="190">
        <f t="shared" si="68"/>
        <v>8685156.6483113617</v>
      </c>
      <c r="Q122" s="190">
        <f t="shared" si="68"/>
        <v>1122293.4472008001</v>
      </c>
      <c r="R122" s="190">
        <f t="shared" si="68"/>
        <v>103916.05992600002</v>
      </c>
    </row>
    <row r="123" spans="7:18" x14ac:dyDescent="0.3">
      <c r="N123" s="221" t="s">
        <v>958</v>
      </c>
      <c r="O123" s="190">
        <f t="shared" si="68"/>
        <v>935413807.80652034</v>
      </c>
      <c r="P123" s="190">
        <f t="shared" si="68"/>
        <v>9355854.748661289</v>
      </c>
      <c r="Q123" s="190">
        <f t="shared" si="68"/>
        <v>1180891.883747268</v>
      </c>
      <c r="R123" s="190">
        <f t="shared" si="68"/>
        <v>109341.84108771001</v>
      </c>
    </row>
    <row r="124" spans="7:18" x14ac:dyDescent="0.3">
      <c r="N124" s="221" t="s">
        <v>959</v>
      </c>
      <c r="O124" s="190">
        <f>O$20-O77</f>
        <v>978344472.15738976</v>
      </c>
      <c r="P124" s="190">
        <f>P$20-P77</f>
        <v>9785240.1784873828</v>
      </c>
      <c r="Q124" s="190">
        <f>Q$20-Q77</f>
        <v>1215429.0847158802</v>
      </c>
      <c r="R124" s="190">
        <f>R$20-R77</f>
        <v>112539.73006628521</v>
      </c>
    </row>
    <row r="125" spans="7:18" x14ac:dyDescent="0.3">
      <c r="O125" s="101"/>
      <c r="P125" s="101"/>
      <c r="Q125" s="101"/>
      <c r="R125" s="101"/>
    </row>
    <row r="126" spans="7:18" x14ac:dyDescent="0.3">
      <c r="K126" s="192">
        <f>0.5*O20</f>
        <v>495072009.21248001</v>
      </c>
      <c r="L126" s="101">
        <f>O126</f>
        <v>0</v>
      </c>
      <c r="M126" s="101"/>
      <c r="O126" s="101"/>
      <c r="P126" s="101"/>
      <c r="Q126" s="101"/>
      <c r="R126" s="101"/>
    </row>
    <row r="127" spans="7:18" x14ac:dyDescent="0.3">
      <c r="N127" s="221" t="s">
        <v>971</v>
      </c>
      <c r="O127" s="101"/>
      <c r="P127" s="101"/>
      <c r="Q127" s="101"/>
      <c r="R127" s="101"/>
    </row>
    <row r="128" spans="7:18" x14ac:dyDescent="0.3">
      <c r="K128" s="101">
        <f>O23</f>
        <v>200000</v>
      </c>
      <c r="L128" s="101">
        <f>O128</f>
        <v>18752107.417624999</v>
      </c>
      <c r="M128" s="101"/>
      <c r="N128" s="221" t="s">
        <v>972</v>
      </c>
      <c r="O128" s="190">
        <f>SUM(O$23:O$27)-SUM(O80, O84, O88)</f>
        <v>18752107.417624999</v>
      </c>
      <c r="P128" s="190">
        <f>SUM(P$23:P$27)-SUM(P80, P84, P88)</f>
        <v>1147824.292625</v>
      </c>
      <c r="Q128" s="190">
        <f>SUM(Q$23:Q$27)-SUM(Q80, Q84, Q88)</f>
        <v>18619110.208750002</v>
      </c>
      <c r="R128" s="190">
        <f>SUM(R$23:R$27)-SUM(R80, R84, R88)</f>
        <v>3546266.4587500002</v>
      </c>
    </row>
    <row r="129" spans="11:18" x14ac:dyDescent="0.3">
      <c r="K129" s="101">
        <f t="shared" ref="K129:K131" si="69">O24</f>
        <v>100000</v>
      </c>
      <c r="L129" s="101">
        <f t="shared" ref="L129:L130" si="70">O129</f>
        <v>20184413.8708</v>
      </c>
      <c r="M129" s="101"/>
      <c r="N129" s="221" t="s">
        <v>972</v>
      </c>
      <c r="O129" s="190">
        <f t="shared" ref="O129:R131" si="71">SUM(O$23:O$27)-SUM(O81, O85, O89)</f>
        <v>20184413.8708</v>
      </c>
      <c r="P129" s="190">
        <f t="shared" si="71"/>
        <v>1254671.8707999999</v>
      </c>
      <c r="Q129" s="190">
        <f t="shared" si="71"/>
        <v>20036564.77</v>
      </c>
      <c r="R129" s="190">
        <f t="shared" si="71"/>
        <v>3875864.77</v>
      </c>
    </row>
    <row r="130" spans="11:18" x14ac:dyDescent="0.3">
      <c r="K130" s="101">
        <f t="shared" si="69"/>
        <v>20000000</v>
      </c>
      <c r="L130" s="101">
        <f t="shared" si="70"/>
        <v>21041641.464948099</v>
      </c>
      <c r="M130" s="101"/>
      <c r="N130" s="221" t="s">
        <v>972</v>
      </c>
      <c r="O130" s="190">
        <f t="shared" si="71"/>
        <v>21041641.464948099</v>
      </c>
      <c r="P130" s="190">
        <f t="shared" si="71"/>
        <v>1325810.9484480999</v>
      </c>
      <c r="Q130" s="190">
        <f t="shared" si="71"/>
        <v>20996581.965234999</v>
      </c>
      <c r="R130" s="190">
        <f t="shared" si="71"/>
        <v>4112867.1902350001</v>
      </c>
    </row>
    <row r="131" spans="11:18" x14ac:dyDescent="0.3">
      <c r="K131" s="101">
        <f t="shared" si="69"/>
        <v>272130</v>
      </c>
      <c r="L131" s="101">
        <f>O84+O131</f>
        <v>21440140.175555434</v>
      </c>
      <c r="M131" s="101"/>
      <c r="N131" s="221" t="s">
        <v>972</v>
      </c>
      <c r="O131" s="190">
        <f t="shared" si="71"/>
        <v>21354386.343180433</v>
      </c>
      <c r="P131" s="190">
        <f t="shared" si="71"/>
        <v>1362741.608370434</v>
      </c>
      <c r="Q131" s="190">
        <f t="shared" si="71"/>
        <v>21505752.2230279</v>
      </c>
      <c r="R131" s="190">
        <f t="shared" si="71"/>
        <v>4270013.8795279004</v>
      </c>
    </row>
    <row r="132" spans="11:18" x14ac:dyDescent="0.3">
      <c r="O132" s="190"/>
      <c r="P132" s="190"/>
      <c r="Q132" s="190"/>
      <c r="R132" s="190"/>
    </row>
    <row r="133" spans="11:18" x14ac:dyDescent="0.3">
      <c r="O133" s="190"/>
      <c r="P133" s="190"/>
      <c r="Q133" s="190"/>
      <c r="R133" s="190"/>
    </row>
    <row r="135" spans="11:18" x14ac:dyDescent="0.3">
      <c r="K135" s="101">
        <f>O27</f>
        <v>1000000</v>
      </c>
      <c r="L135" s="101">
        <f>O88+O135</f>
        <v>196768.74999999997</v>
      </c>
      <c r="M135" s="101"/>
      <c r="O135" s="190"/>
      <c r="P135" s="190"/>
      <c r="Q135" s="190"/>
      <c r="R135" s="190"/>
    </row>
    <row r="136" spans="11:18" x14ac:dyDescent="0.3">
      <c r="O136" s="190"/>
      <c r="P136" s="190"/>
      <c r="Q136" s="190"/>
      <c r="R136" s="190"/>
    </row>
    <row r="137" spans="11:18" x14ac:dyDescent="0.3">
      <c r="O137" s="190"/>
      <c r="P137" s="190"/>
      <c r="Q137" s="190"/>
      <c r="R137" s="190"/>
    </row>
    <row r="138" spans="11:18" x14ac:dyDescent="0.3">
      <c r="N138" s="221" t="s">
        <v>970</v>
      </c>
      <c r="O138" s="190">
        <f t="shared" ref="O138:R140" si="72">SUM(O$30:O$45)-O98</f>
        <v>126284017.125</v>
      </c>
      <c r="P138" s="190">
        <f t="shared" si="72"/>
        <v>23711386.5</v>
      </c>
      <c r="Q138" s="190">
        <f t="shared" si="72"/>
        <v>98020049.0625</v>
      </c>
      <c r="R138" s="190">
        <f t="shared" si="72"/>
        <v>43084887.1875</v>
      </c>
    </row>
    <row r="139" spans="11:18" x14ac:dyDescent="0.3">
      <c r="K139" s="101">
        <f>SUM(O30:O45)</f>
        <v>157220000</v>
      </c>
      <c r="L139" s="101">
        <f>O106+O139</f>
        <v>138759227.59999999</v>
      </c>
      <c r="M139" s="101"/>
      <c r="N139" s="221" t="s">
        <v>790</v>
      </c>
      <c r="O139" s="190">
        <f t="shared" si="72"/>
        <v>138759227.59999999</v>
      </c>
      <c r="P139" s="190">
        <f t="shared" si="72"/>
        <v>26053761.600000001</v>
      </c>
      <c r="Q139" s="190">
        <f t="shared" si="72"/>
        <v>104897409</v>
      </c>
      <c r="R139" s="190">
        <f t="shared" si="72"/>
        <v>46107843</v>
      </c>
    </row>
    <row r="140" spans="11:18" x14ac:dyDescent="0.3">
      <c r="N140" s="221" t="s">
        <v>791</v>
      </c>
      <c r="O140" s="190">
        <f t="shared" si="72"/>
        <v>148683847.79570001</v>
      </c>
      <c r="P140" s="190">
        <f t="shared" si="72"/>
        <v>27917231.821200002</v>
      </c>
      <c r="Q140" s="190">
        <f t="shared" si="72"/>
        <v>110044038.79425</v>
      </c>
      <c r="R140" s="190">
        <f t="shared" si="72"/>
        <v>48370053.294749998</v>
      </c>
    </row>
    <row r="141" spans="11:18" x14ac:dyDescent="0.3">
      <c r="N141" s="221" t="s">
        <v>792</v>
      </c>
      <c r="O141" s="190">
        <f>SUM(O$30:O$45)-O101</f>
        <v>155357248.148298</v>
      </c>
      <c r="P141" s="190">
        <f t="shared" ref="P141:R141" si="73">SUM(P$30:P$45)-P101</f>
        <v>29170245.295368001</v>
      </c>
      <c r="Q141" s="190">
        <f t="shared" si="73"/>
        <v>113198933.91844501</v>
      </c>
      <c r="R141" s="190">
        <f t="shared" si="73"/>
        <v>49756793.067015</v>
      </c>
    </row>
    <row r="142" spans="11:18" x14ac:dyDescent="0.3">
      <c r="N142" s="174" t="s">
        <v>842</v>
      </c>
      <c r="O142" s="186"/>
      <c r="P142" s="186"/>
      <c r="Q142" s="186"/>
      <c r="R142" s="186"/>
    </row>
    <row r="143" spans="11:18" x14ac:dyDescent="0.3">
      <c r="N143" s="186" t="s">
        <v>969</v>
      </c>
      <c r="O143" s="175">
        <f t="shared" ref="O143:R146" si="74">O117+O121+O128+O138</f>
        <v>934745213.62621486</v>
      </c>
      <c r="P143" s="175">
        <f t="shared" si="74"/>
        <v>37086083.487802908</v>
      </c>
      <c r="Q143" s="175">
        <f t="shared" si="74"/>
        <v>122849336.60374156</v>
      </c>
      <c r="R143" s="175">
        <f t="shared" si="74"/>
        <v>46737661.782105699</v>
      </c>
    </row>
    <row r="144" spans="11:18" x14ac:dyDescent="0.3">
      <c r="L144" s="66">
        <f>O144+O112</f>
        <v>1188331148.4249601</v>
      </c>
      <c r="M144" s="66"/>
      <c r="N144" s="186" t="s">
        <v>806</v>
      </c>
      <c r="O144" s="175">
        <f t="shared" si="74"/>
        <v>1043071183.8294901</v>
      </c>
      <c r="P144" s="175">
        <f t="shared" si="74"/>
        <v>41250669.519111365</v>
      </c>
      <c r="Q144" s="175">
        <f t="shared" si="74"/>
        <v>131775206.2172008</v>
      </c>
      <c r="R144" s="175">
        <f t="shared" si="74"/>
        <v>50099061.707925998</v>
      </c>
    </row>
    <row r="145" spans="9:18" x14ac:dyDescent="0.3">
      <c r="L145" s="66">
        <f t="shared" ref="L145:L146" si="75">O145+O113</f>
        <v>1188331148.4249601</v>
      </c>
      <c r="M145" s="66"/>
      <c r="N145" s="186" t="s">
        <v>807</v>
      </c>
      <c r="O145" s="175">
        <f t="shared" si="74"/>
        <v>1122817885.5333185</v>
      </c>
      <c r="P145" s="175">
        <f t="shared" si="74"/>
        <v>44491760.34035939</v>
      </c>
      <c r="Q145" s="175">
        <f t="shared" si="74"/>
        <v>138342580.78498226</v>
      </c>
      <c r="R145" s="175">
        <f t="shared" si="74"/>
        <v>52604504.46235621</v>
      </c>
    </row>
    <row r="146" spans="9:18" x14ac:dyDescent="0.3">
      <c r="L146" s="66">
        <f t="shared" si="75"/>
        <v>1188331148.4249599</v>
      </c>
      <c r="M146" s="66"/>
      <c r="N146" s="186" t="s">
        <v>808</v>
      </c>
      <c r="O146" s="175">
        <f>O120+O124+O131+O141</f>
        <v>1174180345.1136792</v>
      </c>
      <c r="P146" s="175">
        <f t="shared" si="74"/>
        <v>46692973.237162814</v>
      </c>
      <c r="Q146" s="175">
        <f t="shared" si="74"/>
        <v>142331347.65078378</v>
      </c>
      <c r="R146" s="175">
        <f t="shared" si="74"/>
        <v>54152169.141458377</v>
      </c>
    </row>
    <row r="147" spans="9:18" x14ac:dyDescent="0.3">
      <c r="M147" s="5" t="s">
        <v>843</v>
      </c>
      <c r="N147" s="221" t="s">
        <v>969</v>
      </c>
      <c r="O147" s="191">
        <f>(O117+O121)/O143</f>
        <v>0.84483886900048688</v>
      </c>
      <c r="P147" s="191">
        <f t="shared" ref="P147:R148" si="76">(P117+P121)/P143</f>
        <v>0.32968897077522763</v>
      </c>
      <c r="Q147" s="191">
        <f t="shared" si="76"/>
        <v>5.0551167016252493E-2</v>
      </c>
      <c r="R147" s="191">
        <f t="shared" si="76"/>
        <v>2.2788503274350463E-3</v>
      </c>
    </row>
    <row r="148" spans="9:18" x14ac:dyDescent="0.3">
      <c r="N148" s="221" t="s">
        <v>806</v>
      </c>
      <c r="O148" s="191">
        <f>(O118+O122)/O144</f>
        <v>0.84761956428777885</v>
      </c>
      <c r="P148" s="191">
        <f t="shared" si="76"/>
        <v>0.33798811536505968</v>
      </c>
      <c r="Q148" s="191">
        <f t="shared" si="76"/>
        <v>5.1915930497005776E-2</v>
      </c>
      <c r="R148" s="191">
        <f t="shared" si="76"/>
        <v>2.302516933321134E-3</v>
      </c>
    </row>
    <row r="149" spans="9:18" x14ac:dyDescent="0.3">
      <c r="N149" s="221" t="s">
        <v>807</v>
      </c>
      <c r="O149" s="191">
        <f t="shared" ref="O149:R150" si="77">(O119+O123)/O145</f>
        <v>0.8488396992536047</v>
      </c>
      <c r="P149" s="191">
        <f t="shared" si="77"/>
        <v>0.34273127100522621</v>
      </c>
      <c r="Q149" s="191">
        <f t="shared" si="77"/>
        <v>5.2781724788308497E-2</v>
      </c>
      <c r="R149" s="191">
        <f t="shared" si="77"/>
        <v>2.3112845299819436E-3</v>
      </c>
    </row>
    <row r="150" spans="9:18" x14ac:dyDescent="0.3">
      <c r="N150" s="221" t="s">
        <v>808</v>
      </c>
      <c r="O150" s="191">
        <f t="shared" si="77"/>
        <v>0.84950213548807962</v>
      </c>
      <c r="P150" s="191">
        <f t="shared" si="77"/>
        <v>0.34609032608278395</v>
      </c>
      <c r="Q150" s="191">
        <f t="shared" si="77"/>
        <v>5.3583849483553193E-2</v>
      </c>
      <c r="R150" s="191">
        <f t="shared" si="77"/>
        <v>2.3149985845996169E-3</v>
      </c>
    </row>
    <row r="151" spans="9:18" x14ac:dyDescent="0.3">
      <c r="M151" s="5" t="s">
        <v>844</v>
      </c>
      <c r="N151" s="221" t="s">
        <v>969</v>
      </c>
      <c r="O151" s="191">
        <f t="shared" ref="O151:R154" si="78">(O128)/O143</f>
        <v>2.0061196510307647E-2</v>
      </c>
      <c r="P151" s="191">
        <f t="shared" si="78"/>
        <v>3.0950269876906879E-2</v>
      </c>
      <c r="Q151" s="191">
        <f t="shared" si="78"/>
        <v>0.15156052709350104</v>
      </c>
      <c r="R151" s="191">
        <f t="shared" si="78"/>
        <v>7.5875992155597052E-2</v>
      </c>
    </row>
    <row r="152" spans="9:18" x14ac:dyDescent="0.3">
      <c r="N152" s="221" t="s">
        <v>806</v>
      </c>
      <c r="O152" s="191">
        <f t="shared" si="78"/>
        <v>1.935094572998915E-2</v>
      </c>
      <c r="P152" s="191">
        <f t="shared" si="78"/>
        <v>3.0415794105322642E-2</v>
      </c>
      <c r="Q152" s="191">
        <f t="shared" si="78"/>
        <v>0.15205109781406359</v>
      </c>
      <c r="R152" s="191">
        <f t="shared" si="78"/>
        <v>7.736401916259468E-2</v>
      </c>
    </row>
    <row r="153" spans="9:18" x14ac:dyDescent="0.3">
      <c r="N153" s="221" t="s">
        <v>807</v>
      </c>
      <c r="O153" s="191">
        <f t="shared" si="78"/>
        <v>1.8740030539283487E-2</v>
      </c>
      <c r="P153" s="191">
        <f t="shared" si="78"/>
        <v>2.979902207297987E-2</v>
      </c>
      <c r="Q153" s="191">
        <f t="shared" si="78"/>
        <v>0.15177237439186386</v>
      </c>
      <c r="R153" s="191">
        <f t="shared" si="78"/>
        <v>7.8184696011691701E-2</v>
      </c>
    </row>
    <row r="154" spans="9:18" x14ac:dyDescent="0.3">
      <c r="N154" s="221" t="s">
        <v>808</v>
      </c>
      <c r="O154" s="191">
        <f>(O131)/O146</f>
        <v>1.8186632430057404E-2</v>
      </c>
      <c r="P154" s="191">
        <f t="shared" si="78"/>
        <v>2.9185153865632005E-2</v>
      </c>
      <c r="Q154" s="191">
        <f t="shared" si="78"/>
        <v>0.15109638584883781</v>
      </c>
      <c r="R154" s="191">
        <f t="shared" si="78"/>
        <v>7.8852129974214077E-2</v>
      </c>
    </row>
    <row r="155" spans="9:18" x14ac:dyDescent="0.3">
      <c r="M155" s="5" t="s">
        <v>845</v>
      </c>
      <c r="N155" s="221" t="s">
        <v>969</v>
      </c>
      <c r="O155" s="191">
        <f t="shared" ref="O155:R158" si="79">O138/O143</f>
        <v>0.13509993448920546</v>
      </c>
      <c r="P155" s="191">
        <f t="shared" si="79"/>
        <v>0.6393607593478654</v>
      </c>
      <c r="Q155" s="191">
        <f t="shared" si="79"/>
        <v>0.79788830589024651</v>
      </c>
      <c r="R155" s="191">
        <f t="shared" si="79"/>
        <v>0.92184515751696794</v>
      </c>
    </row>
    <row r="156" spans="9:18" x14ac:dyDescent="0.3">
      <c r="N156" s="221" t="s">
        <v>806</v>
      </c>
      <c r="O156" s="191">
        <f t="shared" si="79"/>
        <v>0.13302948998223196</v>
      </c>
      <c r="P156" s="191">
        <f t="shared" si="79"/>
        <v>0.63159609052961763</v>
      </c>
      <c r="Q156" s="191">
        <f t="shared" si="79"/>
        <v>0.79603297168893061</v>
      </c>
      <c r="R156" s="191">
        <f t="shared" si="79"/>
        <v>0.92033346390408421</v>
      </c>
    </row>
    <row r="157" spans="9:18" x14ac:dyDescent="0.3">
      <c r="N157" s="221" t="s">
        <v>807</v>
      </c>
      <c r="O157" s="191">
        <f t="shared" si="79"/>
        <v>0.13242027020711183</v>
      </c>
      <c r="P157" s="191">
        <f t="shared" si="79"/>
        <v>0.62746970692179393</v>
      </c>
      <c r="Q157" s="191">
        <f t="shared" si="79"/>
        <v>0.79544590081982769</v>
      </c>
      <c r="R157" s="191">
        <f t="shared" si="79"/>
        <v>0.91950401945832627</v>
      </c>
    </row>
    <row r="158" spans="9:18" x14ac:dyDescent="0.3">
      <c r="I158" s="221" t="s">
        <v>935</v>
      </c>
      <c r="K158" s="221" t="s">
        <v>35</v>
      </c>
      <c r="N158" s="221" t="s">
        <v>808</v>
      </c>
      <c r="O158" s="191">
        <f t="shared" si="79"/>
        <v>0.13231123208186299</v>
      </c>
      <c r="P158" s="191">
        <f t="shared" si="79"/>
        <v>0.62472452005158408</v>
      </c>
      <c r="Q158" s="191">
        <f t="shared" si="79"/>
        <v>0.79531976466760912</v>
      </c>
      <c r="R158" s="191">
        <f t="shared" si="79"/>
        <v>0.91883287144118631</v>
      </c>
    </row>
    <row r="159" spans="9:18" x14ac:dyDescent="0.3">
      <c r="J159" s="221" t="s">
        <v>872</v>
      </c>
      <c r="K159" s="221" t="s">
        <v>36</v>
      </c>
      <c r="L159" s="221" t="s">
        <v>936</v>
      </c>
    </row>
    <row r="160" spans="9:18" x14ac:dyDescent="0.3">
      <c r="I160" s="221" t="s">
        <v>28</v>
      </c>
      <c r="J160" s="221">
        <v>0.67500000000000004</v>
      </c>
      <c r="K160" s="221">
        <v>1E-3</v>
      </c>
      <c r="L160" s="221">
        <f>J160*K160</f>
        <v>6.7500000000000004E-4</v>
      </c>
      <c r="O160" s="1">
        <f>O147+O151+O155</f>
        <v>1</v>
      </c>
      <c r="P160" s="1">
        <f t="shared" ref="P160:R160" si="80">P147+P151+P155</f>
        <v>0.99999999999999989</v>
      </c>
      <c r="Q160" s="1">
        <f t="shared" si="80"/>
        <v>1</v>
      </c>
      <c r="R160" s="1">
        <f t="shared" si="80"/>
        <v>1</v>
      </c>
    </row>
    <row r="161" spans="9:18" x14ac:dyDescent="0.3">
      <c r="I161" s="221" t="s">
        <v>9</v>
      </c>
      <c r="J161" s="221">
        <v>0.13100000000000001</v>
      </c>
      <c r="K161" s="221">
        <v>2.9000000000000001E-2</v>
      </c>
      <c r="L161" s="221">
        <f t="shared" ref="L161:L166" si="81">J161*K161</f>
        <v>3.7990000000000003E-3</v>
      </c>
      <c r="O161" s="1">
        <f t="shared" ref="O161:R163" si="82">O148+O152+O156</f>
        <v>1</v>
      </c>
      <c r="P161" s="1">
        <f t="shared" si="82"/>
        <v>1</v>
      </c>
      <c r="Q161" s="1">
        <f t="shared" si="82"/>
        <v>1</v>
      </c>
      <c r="R161" s="1">
        <f t="shared" si="82"/>
        <v>1</v>
      </c>
    </row>
    <row r="162" spans="9:18" x14ac:dyDescent="0.3">
      <c r="I162" s="221" t="s">
        <v>8</v>
      </c>
      <c r="J162" s="221">
        <v>0.06</v>
      </c>
      <c r="K162" s="221">
        <v>0.45100000000000001</v>
      </c>
      <c r="L162" s="221">
        <f t="shared" si="81"/>
        <v>2.7060000000000001E-2</v>
      </c>
      <c r="O162" s="1">
        <f t="shared" si="82"/>
        <v>1</v>
      </c>
      <c r="P162" s="1">
        <f t="shared" si="82"/>
        <v>1</v>
      </c>
      <c r="Q162" s="1">
        <f t="shared" si="82"/>
        <v>1</v>
      </c>
      <c r="R162" s="1">
        <f t="shared" si="82"/>
        <v>0.99999999999999989</v>
      </c>
    </row>
    <row r="163" spans="9:18" x14ac:dyDescent="0.3">
      <c r="I163" s="221" t="s">
        <v>7</v>
      </c>
      <c r="J163" s="221">
        <v>4.2999999999999997E-2</v>
      </c>
      <c r="K163" s="221">
        <v>1.008</v>
      </c>
      <c r="L163" s="221">
        <f t="shared" si="81"/>
        <v>4.3343999999999994E-2</v>
      </c>
      <c r="O163" s="1">
        <f t="shared" si="82"/>
        <v>1</v>
      </c>
      <c r="P163" s="1">
        <f t="shared" si="82"/>
        <v>1</v>
      </c>
      <c r="Q163" s="1">
        <f t="shared" si="82"/>
        <v>1</v>
      </c>
      <c r="R163" s="1">
        <f t="shared" si="82"/>
        <v>1</v>
      </c>
    </row>
    <row r="164" spans="9:18" x14ac:dyDescent="0.3">
      <c r="I164" s="221" t="s">
        <v>6</v>
      </c>
      <c r="J164" s="221">
        <v>2.4E-2</v>
      </c>
      <c r="K164" s="221">
        <v>2.5529999999999999</v>
      </c>
      <c r="L164" s="221">
        <f t="shared" si="81"/>
        <v>6.1272E-2</v>
      </c>
    </row>
    <row r="165" spans="9:18" x14ac:dyDescent="0.3">
      <c r="I165" s="221" t="s">
        <v>5</v>
      </c>
      <c r="J165" s="221">
        <v>2.4E-2</v>
      </c>
      <c r="K165" s="221">
        <v>5.6909999999999998</v>
      </c>
      <c r="L165" s="221">
        <f t="shared" si="81"/>
        <v>0.13658400000000001</v>
      </c>
    </row>
    <row r="166" spans="9:18" x14ac:dyDescent="0.3">
      <c r="I166" s="221" t="s">
        <v>4</v>
      </c>
      <c r="J166" s="221">
        <v>4.2999999999999997E-2</v>
      </c>
      <c r="K166" s="221">
        <v>9.5969999999999995</v>
      </c>
      <c r="L166" s="221">
        <f t="shared" si="81"/>
        <v>0.41267099999999995</v>
      </c>
    </row>
    <row r="168" spans="9:18" x14ac:dyDescent="0.3">
      <c r="I168" s="221" t="s">
        <v>97</v>
      </c>
      <c r="J168" s="221">
        <f>SUM(J160:J166)</f>
        <v>1.0000000000000002</v>
      </c>
      <c r="L168" s="221">
        <f t="shared" ref="L168" si="83">SUM(L160:L166)</f>
        <v>0.68540500000000004</v>
      </c>
    </row>
    <row r="170" spans="9:18" ht="43.2" x14ac:dyDescent="0.3">
      <c r="L170" s="221" t="s">
        <v>937</v>
      </c>
      <c r="N170" s="2" t="s">
        <v>948</v>
      </c>
      <c r="O170" s="219" t="s">
        <v>949</v>
      </c>
    </row>
    <row r="171" spans="9:18" x14ac:dyDescent="0.3">
      <c r="J171" s="221" t="s">
        <v>938</v>
      </c>
      <c r="L171" s="101">
        <f>0.01*1000000*$L$168</f>
        <v>6854.05</v>
      </c>
      <c r="M171" s="101"/>
      <c r="N171" s="221">
        <v>5.6000000000000001E-2</v>
      </c>
      <c r="O171" s="216">
        <f>L171*N171</f>
        <v>383.82679999999999</v>
      </c>
    </row>
    <row r="172" spans="9:18" x14ac:dyDescent="0.3">
      <c r="J172" s="221" t="s">
        <v>44</v>
      </c>
      <c r="K172" s="221">
        <v>2.5000000000000001E-2</v>
      </c>
      <c r="L172" s="101">
        <f>0.025*1000000*$L$168</f>
        <v>17135.125</v>
      </c>
      <c r="M172" s="101"/>
      <c r="N172" s="221">
        <v>0.106</v>
      </c>
      <c r="O172" s="216">
        <f t="shared" ref="O172:O173" si="84">L172*N172</f>
        <v>1816.3232499999999</v>
      </c>
    </row>
    <row r="173" spans="9:18" x14ac:dyDescent="0.3">
      <c r="J173" s="221" t="s">
        <v>45</v>
      </c>
      <c r="K173" s="221">
        <v>0.03</v>
      </c>
      <c r="L173" s="101">
        <f>0.03*1000000*$L$168</f>
        <v>20562.150000000001</v>
      </c>
      <c r="M173" s="101"/>
      <c r="N173" s="221">
        <v>0.22500000000000001</v>
      </c>
      <c r="O173" s="216">
        <f t="shared" si="84"/>
        <v>4626.4837500000003</v>
      </c>
      <c r="P173" s="221" t="s">
        <v>988</v>
      </c>
    </row>
    <row r="174" spans="9:18" x14ac:dyDescent="0.3">
      <c r="N174" s="221">
        <v>0.5</v>
      </c>
      <c r="O174" s="216">
        <f>L173*N174</f>
        <v>10281.075000000001</v>
      </c>
    </row>
    <row r="175" spans="9:18" x14ac:dyDescent="0.3">
      <c r="O175" s="221" t="s">
        <v>940</v>
      </c>
    </row>
    <row r="176" spans="9:18" x14ac:dyDescent="0.3">
      <c r="I176" s="221" t="s">
        <v>939</v>
      </c>
      <c r="K176" s="101">
        <f>0.0367*19.3*47</f>
        <v>33.290570000000002</v>
      </c>
      <c r="N176" s="221">
        <v>5.6000000000000001E-2</v>
      </c>
      <c r="O176" s="216">
        <f>$K$176*N176</f>
        <v>1.8642719200000002</v>
      </c>
    </row>
    <row r="177" spans="9:15" x14ac:dyDescent="0.3">
      <c r="N177" s="221">
        <v>0.106</v>
      </c>
      <c r="O177" s="216">
        <f t="shared" ref="O177:O179" si="85">$K$176*N177</f>
        <v>3.52880042</v>
      </c>
    </row>
    <row r="178" spans="9:15" x14ac:dyDescent="0.3">
      <c r="N178" s="221">
        <v>0.22500000000000001</v>
      </c>
      <c r="O178" s="216">
        <f t="shared" si="85"/>
        <v>7.4903782500000009</v>
      </c>
    </row>
    <row r="179" spans="9:15" x14ac:dyDescent="0.3">
      <c r="N179" s="221">
        <v>0.5</v>
      </c>
      <c r="O179" s="216">
        <f t="shared" si="85"/>
        <v>16.645285000000001</v>
      </c>
    </row>
    <row r="182" spans="9:15" x14ac:dyDescent="0.3">
      <c r="L182" s="86"/>
    </row>
    <row r="183" spans="9:15" x14ac:dyDescent="0.3">
      <c r="L183" s="86" t="s">
        <v>996</v>
      </c>
    </row>
    <row r="184" spans="9:15" x14ac:dyDescent="0.3">
      <c r="L184" s="109" t="s">
        <v>997</v>
      </c>
      <c r="M184" s="109">
        <v>0.875</v>
      </c>
    </row>
    <row r="185" spans="9:15" x14ac:dyDescent="0.3">
      <c r="L185" s="109" t="s">
        <v>43</v>
      </c>
      <c r="M185" s="109">
        <v>0.94</v>
      </c>
    </row>
    <row r="186" spans="9:15" x14ac:dyDescent="0.3">
      <c r="L186" s="109" t="s">
        <v>44</v>
      </c>
      <c r="M186" s="109">
        <v>0.9778</v>
      </c>
    </row>
    <row r="187" spans="9:15" x14ac:dyDescent="0.3">
      <c r="L187" s="109" t="s">
        <v>716</v>
      </c>
      <c r="M187" s="109">
        <v>0.99009999999999998</v>
      </c>
    </row>
    <row r="192" spans="9:15" x14ac:dyDescent="0.3">
      <c r="I192" s="86" t="s">
        <v>1038</v>
      </c>
      <c r="J192" s="239"/>
    </row>
    <row r="193" spans="9:13" x14ac:dyDescent="0.3">
      <c r="I193" s="239" t="s">
        <v>990</v>
      </c>
      <c r="J193" s="239"/>
    </row>
    <row r="194" spans="9:13" x14ac:dyDescent="0.3">
      <c r="I194" s="239" t="s">
        <v>991</v>
      </c>
      <c r="J194" s="239"/>
    </row>
    <row r="195" spans="9:13" x14ac:dyDescent="0.3">
      <c r="I195" s="239"/>
      <c r="J195" s="239"/>
      <c r="K195" s="221" t="s">
        <v>420</v>
      </c>
      <c r="M195" s="221" t="s">
        <v>1040</v>
      </c>
    </row>
    <row r="196" spans="9:13" x14ac:dyDescent="0.3">
      <c r="I196" s="113" t="s">
        <v>992</v>
      </c>
      <c r="J196" s="113" t="s">
        <v>993</v>
      </c>
      <c r="K196" s="113" t="s">
        <v>994</v>
      </c>
      <c r="L196" s="113" t="s">
        <v>995</v>
      </c>
      <c r="M196" s="245" t="s">
        <v>1039</v>
      </c>
    </row>
    <row r="197" spans="9:13" x14ac:dyDescent="0.3">
      <c r="I197" s="109">
        <v>300</v>
      </c>
      <c r="J197" s="109">
        <v>60</v>
      </c>
      <c r="K197" s="109" t="s">
        <v>1028</v>
      </c>
      <c r="L197" s="109">
        <v>0.45</v>
      </c>
      <c r="M197" s="109">
        <v>0.6</v>
      </c>
    </row>
    <row r="198" spans="9:13" s="239" customFormat="1" x14ac:dyDescent="0.3">
      <c r="I198" s="109">
        <v>100</v>
      </c>
      <c r="J198" s="109">
        <v>25</v>
      </c>
      <c r="K198" s="109" t="s">
        <v>1034</v>
      </c>
      <c r="L198" s="109">
        <v>0.32</v>
      </c>
      <c r="M198" s="109">
        <v>0.44</v>
      </c>
    </row>
    <row r="199" spans="9:13" x14ac:dyDescent="0.3">
      <c r="I199" s="109">
        <v>60</v>
      </c>
      <c r="J199" s="109">
        <v>16</v>
      </c>
      <c r="K199" s="246" t="s">
        <v>1033</v>
      </c>
      <c r="L199" s="109">
        <v>0.28000000000000003</v>
      </c>
      <c r="M199" s="109">
        <v>0.32</v>
      </c>
    </row>
    <row r="200" spans="9:13" x14ac:dyDescent="0.3">
      <c r="I200" s="109">
        <v>10</v>
      </c>
      <c r="J200" s="109">
        <v>3.5</v>
      </c>
      <c r="K200" s="246" t="s">
        <v>1032</v>
      </c>
      <c r="L200" s="109">
        <v>7.0000000000000007E-2</v>
      </c>
      <c r="M200" s="109">
        <v>0.09</v>
      </c>
    </row>
    <row r="201" spans="9:13" x14ac:dyDescent="0.3">
      <c r="I201" s="109">
        <v>1</v>
      </c>
      <c r="J201" s="109">
        <v>0.5</v>
      </c>
      <c r="K201" s="246" t="s">
        <v>1030</v>
      </c>
      <c r="L201" s="109">
        <v>0.01</v>
      </c>
      <c r="M201" s="109">
        <v>0.01</v>
      </c>
    </row>
  </sheetData>
  <mergeCells count="1">
    <mergeCell ref="O5:R5"/>
  </mergeCells>
  <pageMargins left="0.7" right="0.7"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AD42B-4460-4317-AA8F-DCA687687E3D}">
  <dimension ref="A3:AL300"/>
  <sheetViews>
    <sheetView topLeftCell="C16" zoomScale="75" zoomScaleNormal="75" workbookViewId="0">
      <selection activeCell="G40" sqref="G40"/>
    </sheetView>
  </sheetViews>
  <sheetFormatPr defaultRowHeight="14.4" x14ac:dyDescent="0.3"/>
  <cols>
    <col min="1" max="1" width="12.5546875" style="221" customWidth="1"/>
    <col min="2" max="2" width="17.77734375" style="221" customWidth="1"/>
    <col min="3" max="3" width="21.33203125" style="221" customWidth="1"/>
    <col min="4" max="4" width="19.88671875" style="221" customWidth="1"/>
    <col min="5" max="5" width="17.6640625" style="221" customWidth="1"/>
    <col min="6" max="6" width="14.88671875" style="221" customWidth="1"/>
    <col min="7" max="7" width="14" style="221" customWidth="1"/>
    <col min="8" max="8" width="14.88671875" style="221" customWidth="1"/>
    <col min="9" max="9" width="13.5546875" style="221" customWidth="1"/>
    <col min="10" max="10" width="15" style="221" customWidth="1"/>
    <col min="11" max="11" width="13.21875" style="221" customWidth="1"/>
    <col min="12" max="12" width="12" style="221" customWidth="1"/>
    <col min="13" max="13" width="15.44140625" style="221" customWidth="1"/>
    <col min="14" max="14" width="8.88671875" style="221"/>
    <col min="15" max="15" width="15.109375" style="221" customWidth="1"/>
    <col min="16" max="18" width="12.77734375" style="221" customWidth="1"/>
    <col min="19" max="19" width="6.88671875" style="221" customWidth="1"/>
    <col min="20" max="20" width="15" style="221" customWidth="1"/>
    <col min="21" max="23" width="12.77734375" style="221" customWidth="1"/>
    <col min="24" max="24" width="6.88671875" style="221" customWidth="1"/>
    <col min="25" max="25" width="15.44140625" style="221" customWidth="1"/>
    <col min="26" max="28" width="12.77734375" style="221" customWidth="1"/>
    <col min="29" max="29" width="6.88671875" style="221" customWidth="1"/>
    <col min="30" max="30" width="15.109375" style="221" customWidth="1"/>
    <col min="31" max="32" width="12.77734375" style="221" customWidth="1"/>
    <col min="33" max="33" width="14" style="221" customWidth="1"/>
    <col min="34" max="34" width="8.88671875" style="221"/>
    <col min="35" max="35" width="14" style="221" customWidth="1"/>
    <col min="36" max="36" width="11.77734375" style="221" customWidth="1"/>
    <col min="37" max="37" width="12.5546875" style="221" customWidth="1"/>
    <col min="38" max="38" width="11.77734375" style="221" customWidth="1"/>
    <col min="39" max="16384" width="8.88671875" style="221"/>
  </cols>
  <sheetData>
    <row r="3" spans="2:6" ht="86.4" x14ac:dyDescent="0.3">
      <c r="B3" s="222"/>
      <c r="C3" s="176" t="s">
        <v>861</v>
      </c>
      <c r="D3" s="176" t="s">
        <v>865</v>
      </c>
      <c r="E3" s="176" t="s">
        <v>862</v>
      </c>
      <c r="F3" s="176" t="s">
        <v>863</v>
      </c>
    </row>
    <row r="4" spans="2:6" x14ac:dyDescent="0.3">
      <c r="B4" s="221" t="s">
        <v>743</v>
      </c>
      <c r="C4" s="2" t="s">
        <v>751</v>
      </c>
      <c r="D4" s="2" t="s">
        <v>751</v>
      </c>
      <c r="E4" s="2" t="s">
        <v>746</v>
      </c>
      <c r="F4" s="2" t="s">
        <v>746</v>
      </c>
    </row>
    <row r="5" spans="2:6" x14ac:dyDescent="0.3">
      <c r="B5" s="221" t="s">
        <v>745</v>
      </c>
      <c r="C5" s="2" t="s">
        <v>752</v>
      </c>
      <c r="D5" s="2" t="s">
        <v>752</v>
      </c>
      <c r="E5" s="2" t="s">
        <v>753</v>
      </c>
      <c r="F5" s="2" t="s">
        <v>753</v>
      </c>
    </row>
    <row r="6" spans="2:6" x14ac:dyDescent="0.3">
      <c r="B6" s="221" t="s">
        <v>756</v>
      </c>
      <c r="C6" s="2" t="s">
        <v>758</v>
      </c>
      <c r="D6" s="2" t="s">
        <v>758</v>
      </c>
      <c r="E6" s="2" t="s">
        <v>759</v>
      </c>
      <c r="F6" s="2" t="s">
        <v>759</v>
      </c>
    </row>
    <row r="7" spans="2:6" x14ac:dyDescent="0.3">
      <c r="B7" s="221" t="s">
        <v>755</v>
      </c>
      <c r="C7" s="221">
        <v>165</v>
      </c>
      <c r="D7" s="221">
        <v>165</v>
      </c>
      <c r="E7" s="221">
        <v>660</v>
      </c>
      <c r="F7" s="221">
        <v>660</v>
      </c>
    </row>
    <row r="8" spans="2:6" x14ac:dyDescent="0.3">
      <c r="B8" s="221" t="s">
        <v>760</v>
      </c>
      <c r="C8" s="221">
        <v>1100</v>
      </c>
      <c r="D8" s="221">
        <v>99</v>
      </c>
      <c r="E8" s="221">
        <v>9</v>
      </c>
      <c r="F8" s="221">
        <v>1</v>
      </c>
    </row>
    <row r="9" spans="2:6" x14ac:dyDescent="0.3">
      <c r="B9" s="221" t="s">
        <v>761</v>
      </c>
      <c r="C9" s="221">
        <v>3</v>
      </c>
      <c r="D9" s="221">
        <v>1</v>
      </c>
      <c r="E9" s="221">
        <v>1</v>
      </c>
      <c r="F9" s="221">
        <v>2E-3</v>
      </c>
    </row>
    <row r="11" spans="2:6" x14ac:dyDescent="0.3">
      <c r="B11" s="221" t="s">
        <v>744</v>
      </c>
      <c r="C11" s="2" t="s">
        <v>864</v>
      </c>
      <c r="D11" s="2" t="s">
        <v>864</v>
      </c>
      <c r="E11" s="2" t="s">
        <v>747</v>
      </c>
      <c r="F11" s="2" t="s">
        <v>747</v>
      </c>
    </row>
    <row r="12" spans="2:6" x14ac:dyDescent="0.3">
      <c r="B12" s="221" t="s">
        <v>82</v>
      </c>
      <c r="C12" s="221">
        <v>4</v>
      </c>
      <c r="D12" s="221">
        <v>4</v>
      </c>
      <c r="E12" s="221">
        <v>5</v>
      </c>
      <c r="F12" s="221">
        <v>5</v>
      </c>
    </row>
    <row r="13" spans="2:6" x14ac:dyDescent="0.3">
      <c r="B13" s="221" t="s">
        <v>742</v>
      </c>
      <c r="C13" s="221">
        <v>1100</v>
      </c>
      <c r="D13" s="221">
        <v>99</v>
      </c>
      <c r="E13" s="221">
        <v>9</v>
      </c>
      <c r="F13" s="221">
        <v>0.9</v>
      </c>
    </row>
    <row r="14" spans="2:6" x14ac:dyDescent="0.3">
      <c r="B14" s="221" t="s">
        <v>92</v>
      </c>
      <c r="C14" s="221">
        <v>5449</v>
      </c>
      <c r="D14" s="221">
        <v>54.5</v>
      </c>
      <c r="E14" s="221">
        <v>5.4</v>
      </c>
      <c r="F14" s="221">
        <v>0.5</v>
      </c>
    </row>
    <row r="16" spans="2:6" ht="86.4" x14ac:dyDescent="0.3">
      <c r="C16" s="176" t="s">
        <v>861</v>
      </c>
      <c r="D16" s="176" t="s">
        <v>865</v>
      </c>
      <c r="E16" s="176" t="s">
        <v>862</v>
      </c>
      <c r="F16" s="176" t="s">
        <v>863</v>
      </c>
    </row>
    <row r="17" spans="2:15" x14ac:dyDescent="0.3">
      <c r="B17" s="174" t="s">
        <v>799</v>
      </c>
      <c r="C17" s="175">
        <v>1188331148.4249601</v>
      </c>
      <c r="D17" s="175">
        <v>47267387.295680001</v>
      </c>
      <c r="E17" s="175">
        <v>143642850.21551999</v>
      </c>
      <c r="F17" s="175">
        <v>54657799.464400001</v>
      </c>
    </row>
    <row r="18" spans="2:15" x14ac:dyDescent="0.3">
      <c r="F18" s="101"/>
    </row>
    <row r="19" spans="2:15" x14ac:dyDescent="0.3">
      <c r="B19" s="221" t="s">
        <v>768</v>
      </c>
      <c r="C19" s="101">
        <v>19395000</v>
      </c>
      <c r="D19" s="101">
        <v>6465000</v>
      </c>
      <c r="E19" s="101">
        <v>6465000</v>
      </c>
      <c r="F19" s="101">
        <v>12930</v>
      </c>
    </row>
    <row r="20" spans="2:15" x14ac:dyDescent="0.3">
      <c r="B20" s="221" t="s">
        <v>769</v>
      </c>
      <c r="C20" s="101">
        <v>636065</v>
      </c>
      <c r="D20" s="101">
        <v>186065</v>
      </c>
      <c r="E20" s="101">
        <v>6360650</v>
      </c>
      <c r="F20" s="101">
        <v>1860650</v>
      </c>
    </row>
    <row r="21" spans="2:15" x14ac:dyDescent="0.3">
      <c r="B21" s="8" t="s">
        <v>770</v>
      </c>
      <c r="C21" s="170">
        <v>78610000</v>
      </c>
      <c r="D21" s="170">
        <v>14760000</v>
      </c>
      <c r="E21" s="170">
        <v>57115000</v>
      </c>
      <c r="F21" s="170">
        <v>25105000</v>
      </c>
    </row>
    <row r="22" spans="2:15" x14ac:dyDescent="0.3">
      <c r="B22" s="146" t="s">
        <v>773</v>
      </c>
      <c r="C22" s="171">
        <v>98641065</v>
      </c>
      <c r="D22" s="171">
        <v>21411065</v>
      </c>
      <c r="E22" s="171">
        <v>69940650</v>
      </c>
      <c r="F22" s="171">
        <v>26978580</v>
      </c>
    </row>
    <row r="23" spans="2:15" x14ac:dyDescent="0.3">
      <c r="C23" s="101"/>
      <c r="D23" s="101"/>
      <c r="E23" s="101"/>
      <c r="F23" s="101"/>
    </row>
    <row r="25" spans="2:15" x14ac:dyDescent="0.3">
      <c r="B25" s="221" t="s">
        <v>771</v>
      </c>
      <c r="C25" s="101">
        <v>990144018.42496002</v>
      </c>
      <c r="D25" s="101">
        <v>9903257.2956800014</v>
      </c>
      <c r="E25" s="101">
        <v>1226550.2155200001</v>
      </c>
      <c r="F25" s="101">
        <v>113569.46440000001</v>
      </c>
    </row>
    <row r="26" spans="2:15" x14ac:dyDescent="0.3">
      <c r="B26" s="221" t="s">
        <v>772</v>
      </c>
      <c r="C26" s="101">
        <v>20936065</v>
      </c>
      <c r="D26" s="101">
        <v>1193065</v>
      </c>
      <c r="E26" s="101">
        <v>15360650</v>
      </c>
      <c r="F26" s="101">
        <v>2460650</v>
      </c>
      <c r="G26" s="156"/>
      <c r="H26" s="156"/>
      <c r="I26" s="156"/>
      <c r="J26" s="156"/>
      <c r="K26" s="156" t="s">
        <v>1069</v>
      </c>
    </row>
    <row r="27" spans="2:15" x14ac:dyDescent="0.3">
      <c r="B27" s="8" t="s">
        <v>813</v>
      </c>
      <c r="C27" s="170">
        <v>78610000</v>
      </c>
      <c r="D27" s="170">
        <v>14760000</v>
      </c>
      <c r="E27" s="170">
        <v>57115000</v>
      </c>
      <c r="F27" s="170">
        <v>25105000</v>
      </c>
      <c r="G27" s="156">
        <f>(C25+C19)/C17</f>
        <v>0.84954351298712061</v>
      </c>
      <c r="H27" s="156">
        <f>(D25+D19)/D17</f>
        <v>0.34629071400305589</v>
      </c>
      <c r="I27" s="156">
        <f t="shared" ref="I27:J27" si="0">(E25+E19)/E17</f>
        <v>5.354634918465967E-2</v>
      </c>
      <c r="J27" s="156">
        <f t="shared" si="0"/>
        <v>2.314389998126293E-3</v>
      </c>
      <c r="K27" s="156" t="s">
        <v>814</v>
      </c>
    </row>
    <row r="28" spans="2:15" x14ac:dyDescent="0.3">
      <c r="B28" s="146" t="s">
        <v>774</v>
      </c>
      <c r="C28" s="171">
        <v>1089690083.4249601</v>
      </c>
      <c r="D28" s="171">
        <v>25856322.295680001</v>
      </c>
      <c r="E28" s="171">
        <v>73702200.215519994</v>
      </c>
      <c r="F28" s="171">
        <v>27679219.464400001</v>
      </c>
      <c r="G28" s="156">
        <f>(C20+C26)/C17</f>
        <v>1.8153298454384681E-2</v>
      </c>
      <c r="H28" s="156">
        <f t="shared" ref="H28:J28" si="1">(D20+D26)/D17</f>
        <v>2.9177199733357074E-2</v>
      </c>
      <c r="I28" s="156">
        <f t="shared" si="1"/>
        <v>0.15121741156910787</v>
      </c>
      <c r="J28" s="156">
        <f t="shared" si="1"/>
        <v>7.9060994814007676E-2</v>
      </c>
      <c r="K28" s="156" t="s">
        <v>815</v>
      </c>
      <c r="L28" s="361" t="s">
        <v>1070</v>
      </c>
      <c r="M28" s="361"/>
      <c r="N28" s="361"/>
      <c r="O28" s="361"/>
    </row>
    <row r="29" spans="2:15" x14ac:dyDescent="0.3">
      <c r="B29" s="173"/>
      <c r="C29" s="173"/>
      <c r="D29" s="173"/>
      <c r="E29" s="173"/>
      <c r="F29" s="173"/>
      <c r="G29" s="156">
        <f>(C21+C27)/C17</f>
        <v>0.13230318855849466</v>
      </c>
      <c r="H29" s="156">
        <f t="shared" ref="H29:J29" si="2">(D21+D27)/D17</f>
        <v>0.62453208626358703</v>
      </c>
      <c r="I29" s="156">
        <f t="shared" si="2"/>
        <v>0.79523623924623255</v>
      </c>
      <c r="J29" s="156">
        <f t="shared" si="2"/>
        <v>0.91862461518786598</v>
      </c>
      <c r="K29" s="156" t="s">
        <v>816</v>
      </c>
      <c r="L29" s="361">
        <f>C28/C17</f>
        <v>0.91699193854276984</v>
      </c>
      <c r="M29" s="361">
        <f t="shared" ref="M29:O29" si="3">D28/D17</f>
        <v>0.54702245617969958</v>
      </c>
      <c r="N29" s="361">
        <f t="shared" si="3"/>
        <v>0.51309341261982833</v>
      </c>
      <c r="O29" s="361">
        <f t="shared" si="3"/>
        <v>0.5064093274085828</v>
      </c>
    </row>
    <row r="30" spans="2:15" x14ac:dyDescent="0.3">
      <c r="B30" s="86" t="s">
        <v>1008</v>
      </c>
      <c r="G30" s="362" t="s">
        <v>1071</v>
      </c>
      <c r="H30" s="362"/>
      <c r="I30" s="362"/>
      <c r="J30" s="362"/>
    </row>
    <row r="31" spans="2:15" x14ac:dyDescent="0.3">
      <c r="B31" s="221" t="s">
        <v>973</v>
      </c>
      <c r="C31" s="101">
        <v>253585934.7987451</v>
      </c>
      <c r="D31" s="101">
        <v>10181303.807877097</v>
      </c>
      <c r="E31" s="101">
        <v>20793513.611778438</v>
      </c>
      <c r="F31" s="101">
        <v>7920137.6822942998</v>
      </c>
      <c r="G31" s="362">
        <f>C31/C17</f>
        <v>0.21339669092647567</v>
      </c>
      <c r="H31" s="362">
        <f t="shared" ref="H31:J31" si="4">D31/D17</f>
        <v>0.21539806598973193</v>
      </c>
      <c r="I31" s="362">
        <f t="shared" si="4"/>
        <v>0.14475843093185706</v>
      </c>
      <c r="J31" s="362">
        <f t="shared" si="4"/>
        <v>0.1449040715122987</v>
      </c>
    </row>
    <row r="32" spans="2:15" x14ac:dyDescent="0.3">
      <c r="B32" s="221" t="s">
        <v>796</v>
      </c>
      <c r="C32" s="101">
        <v>145259964.5954701</v>
      </c>
      <c r="D32" s="101">
        <v>6016717.77656864</v>
      </c>
      <c r="E32" s="101">
        <v>11867643.998319203</v>
      </c>
      <c r="F32" s="101">
        <v>4558737.7564740013</v>
      </c>
      <c r="G32" s="362">
        <f>C32/C17</f>
        <v>0.12223862413099312</v>
      </c>
      <c r="H32" s="362">
        <f t="shared" ref="H32:J32" si="5">D32/D17</f>
        <v>0.12729110113345607</v>
      </c>
      <c r="I32" s="362">
        <f t="shared" si="5"/>
        <v>8.2619106906561199E-2</v>
      </c>
      <c r="J32" s="362">
        <f t="shared" si="5"/>
        <v>8.3405073038903113E-2</v>
      </c>
    </row>
    <row r="33" spans="2:10" x14ac:dyDescent="0.3">
      <c r="B33" s="221" t="s">
        <v>797</v>
      </c>
      <c r="C33" s="101">
        <v>65513262.891641557</v>
      </c>
      <c r="D33" s="101">
        <v>2775626.9553206116</v>
      </c>
      <c r="E33" s="101">
        <v>5300269.4305377314</v>
      </c>
      <c r="F33" s="101">
        <v>2053295.0020437897</v>
      </c>
      <c r="G33" s="362">
        <f>C33/C17</f>
        <v>5.5130476869578192E-2</v>
      </c>
      <c r="H33" s="362">
        <f t="shared" ref="H33:J33" si="6">D33/D17</f>
        <v>5.8721818871809946E-2</v>
      </c>
      <c r="I33" s="362">
        <f t="shared" si="6"/>
        <v>3.6898943613171635E-2</v>
      </c>
      <c r="J33" s="362">
        <f t="shared" si="6"/>
        <v>3.7566367877308202E-2</v>
      </c>
    </row>
    <row r="34" spans="2:10" x14ac:dyDescent="0.3">
      <c r="B34" s="221" t="s">
        <v>798</v>
      </c>
      <c r="C34" s="101">
        <v>14150803.311280824</v>
      </c>
      <c r="D34" s="101">
        <v>574414.05851718504</v>
      </c>
      <c r="E34" s="101">
        <v>1311502.5647362208</v>
      </c>
      <c r="F34" s="101">
        <v>505630.32294162514</v>
      </c>
      <c r="G34" s="362">
        <f>C34/C17</f>
        <v>1.1908131273034967E-2</v>
      </c>
      <c r="H34" s="362">
        <f t="shared" ref="H34:J34" si="7">D34/D17</f>
        <v>1.2152439374826279E-2</v>
      </c>
      <c r="I34" s="362">
        <f t="shared" si="7"/>
        <v>9.130301736344399E-3</v>
      </c>
      <c r="J34" s="362">
        <f t="shared" si="7"/>
        <v>9.2508357068226809E-3</v>
      </c>
    </row>
    <row r="35" spans="2:10" x14ac:dyDescent="0.3">
      <c r="B35" s="86" t="s">
        <v>1009</v>
      </c>
      <c r="G35" s="363" t="s">
        <v>1072</v>
      </c>
      <c r="H35" s="363"/>
      <c r="I35" s="363"/>
      <c r="J35" s="363"/>
    </row>
    <row r="36" spans="2:10" x14ac:dyDescent="0.3">
      <c r="B36" s="221" t="s">
        <v>975</v>
      </c>
      <c r="C36" s="101">
        <v>128571258.59681006</v>
      </c>
      <c r="D36" s="101">
        <v>6071979.4138760483</v>
      </c>
      <c r="E36" s="101">
        <v>10760022.48276422</v>
      </c>
      <c r="F36" s="101">
        <v>4202925.89083465</v>
      </c>
      <c r="G36" s="363">
        <f>C36/(C22+0.5*C28)</f>
        <v>0.19980424947116654</v>
      </c>
      <c r="H36" s="363">
        <f t="shared" ref="H36:J36" si="8">D36/(D22+0.5*D28)</f>
        <v>0.17682342018234407</v>
      </c>
      <c r="I36" s="363">
        <f t="shared" si="8"/>
        <v>0.10075705728117237</v>
      </c>
      <c r="J36" s="363">
        <f t="shared" si="8"/>
        <v>0.10296698404336911</v>
      </c>
    </row>
    <row r="37" spans="2:10" x14ac:dyDescent="0.3">
      <c r="B37" s="221" t="s">
        <v>800</v>
      </c>
      <c r="C37" s="101">
        <v>73859011.262335047</v>
      </c>
      <c r="D37" s="101">
        <v>3608257.25288432</v>
      </c>
      <c r="E37" s="101">
        <v>6200720.1141596008</v>
      </c>
      <c r="F37" s="101">
        <v>2425982.5542370006</v>
      </c>
      <c r="G37" s="363">
        <f>C37/(C22+0.5*C28)</f>
        <v>0.11477949638986758</v>
      </c>
      <c r="H37" s="363">
        <f t="shared" ref="H37:J37" si="9">D37/(D22+0.5*D28)</f>
        <v>0.10507683654109619</v>
      </c>
      <c r="I37" s="363">
        <f t="shared" si="9"/>
        <v>5.8063662295099204E-2</v>
      </c>
      <c r="J37" s="363">
        <f t="shared" si="9"/>
        <v>5.943385951590182E-2</v>
      </c>
    </row>
    <row r="38" spans="2:10" x14ac:dyDescent="0.3">
      <c r="B38" s="221" t="s">
        <v>801</v>
      </c>
      <c r="C38" s="101">
        <v>33402274.322771728</v>
      </c>
      <c r="D38" s="101">
        <v>1675471.4766612556</v>
      </c>
      <c r="E38" s="101">
        <v>2801434.5367763657</v>
      </c>
      <c r="F38" s="101">
        <v>1099565.3252626448</v>
      </c>
      <c r="G38" s="363">
        <f>C38/(C22+0.5*C28)</f>
        <v>5.1908306915002908E-2</v>
      </c>
      <c r="H38" s="363">
        <f t="shared" ref="H38:J38" si="10">D38/(D22+0.5*D28)</f>
        <v>4.8791765703975996E-2</v>
      </c>
      <c r="I38" s="363">
        <f t="shared" si="10"/>
        <v>2.6232686831609477E-2</v>
      </c>
      <c r="J38" s="363">
        <f t="shared" si="10"/>
        <v>2.6938120785774029E-2</v>
      </c>
    </row>
    <row r="39" spans="2:10" x14ac:dyDescent="0.3">
      <c r="B39" s="221" t="s">
        <v>802</v>
      </c>
      <c r="C39" s="101">
        <v>7113085.0220946949</v>
      </c>
      <c r="D39" s="101">
        <v>329982.55664987554</v>
      </c>
      <c r="E39" s="101">
        <v>656321.81605666038</v>
      </c>
      <c r="F39" s="101">
        <v>268068.47503226757</v>
      </c>
      <c r="G39" s="363">
        <f>C39/(C22+0.5*C28)</f>
        <v>1.1053983835695983E-2</v>
      </c>
      <c r="H39" s="363">
        <f t="shared" ref="H39:J39" si="11">D39/(D22+0.5*D28)</f>
        <v>9.609493097753807E-3</v>
      </c>
      <c r="I39" s="363">
        <f t="shared" si="11"/>
        <v>6.1458100967011764E-3</v>
      </c>
      <c r="J39" s="363">
        <f t="shared" si="11"/>
        <v>6.5673778477441398E-3</v>
      </c>
    </row>
    <row r="40" spans="2:10" x14ac:dyDescent="0.3">
      <c r="B40" s="86" t="s">
        <v>1010</v>
      </c>
      <c r="G40" s="364" t="s">
        <v>1073</v>
      </c>
      <c r="H40" s="364"/>
      <c r="I40" s="364"/>
      <c r="J40" s="364"/>
    </row>
    <row r="41" spans="2:10" x14ac:dyDescent="0.3">
      <c r="B41" s="221" t="s">
        <v>976</v>
      </c>
      <c r="C41" s="101">
        <v>125014676.20193505</v>
      </c>
      <c r="D41" s="101">
        <v>4109324.3940010481</v>
      </c>
      <c r="E41" s="101">
        <v>10033491.12901422</v>
      </c>
      <c r="F41" s="101">
        <v>3717211.7914596498</v>
      </c>
      <c r="G41" s="364">
        <f>C41/C22</f>
        <v>1.2673694895927476</v>
      </c>
      <c r="H41" s="364">
        <f t="shared" ref="H41:J41" si="12">D41/D22</f>
        <v>0.19192526826671388</v>
      </c>
      <c r="I41" s="364">
        <f t="shared" si="12"/>
        <v>0.14345721878498727</v>
      </c>
      <c r="J41" s="364">
        <f t="shared" si="12"/>
        <v>0.13778381929143971</v>
      </c>
    </row>
    <row r="42" spans="2:10" x14ac:dyDescent="0.3">
      <c r="B42" s="221" t="s">
        <v>806</v>
      </c>
      <c r="C42" s="101">
        <v>71400953.333135054</v>
      </c>
      <c r="D42" s="101">
        <v>2408460.52368432</v>
      </c>
      <c r="E42" s="101">
        <v>5666923.8841596013</v>
      </c>
      <c r="F42" s="101">
        <v>2132755.2022370007</v>
      </c>
      <c r="G42" s="364">
        <f>C42/C22</f>
        <v>0.72384613176201063</v>
      </c>
      <c r="H42" s="364">
        <f t="shared" ref="H42:J42" si="13">D42/D22</f>
        <v>0.11248672234119694</v>
      </c>
      <c r="I42" s="364">
        <f t="shared" si="13"/>
        <v>8.1024752903491759E-2</v>
      </c>
      <c r="J42" s="364">
        <f t="shared" si="13"/>
        <v>7.9053649311305513E-2</v>
      </c>
    </row>
    <row r="43" spans="2:10" x14ac:dyDescent="0.3">
      <c r="B43" s="221" t="s">
        <v>807</v>
      </c>
      <c r="C43" s="101">
        <v>32110988.568869829</v>
      </c>
      <c r="D43" s="101">
        <v>1100155.4786593558</v>
      </c>
      <c r="E43" s="101">
        <v>2498834.8937613657</v>
      </c>
      <c r="F43" s="101">
        <v>953729.67678114481</v>
      </c>
      <c r="G43" s="364">
        <f>C43/C22</f>
        <v>0.32553367675896272</v>
      </c>
      <c r="H43" s="364">
        <f t="shared" ref="H43:J43" si="14">D43/D22</f>
        <v>5.1382566848466239E-2</v>
      </c>
      <c r="I43" s="364">
        <f t="shared" si="14"/>
        <v>3.5727933523085155E-2</v>
      </c>
      <c r="J43" s="364">
        <f t="shared" si="14"/>
        <v>3.5351366779910021E-2</v>
      </c>
    </row>
    <row r="44" spans="2:10" x14ac:dyDescent="0.3">
      <c r="B44" s="221" t="s">
        <v>808</v>
      </c>
      <c r="C44" s="101">
        <v>7037718.2891861293</v>
      </c>
      <c r="D44" s="101">
        <v>244431.50186730945</v>
      </c>
      <c r="E44" s="101">
        <v>655180.74867956038</v>
      </c>
      <c r="F44" s="101">
        <v>237561.84790935757</v>
      </c>
      <c r="G44" s="364">
        <f>C44/C22</f>
        <v>7.1346738695350964E-2</v>
      </c>
      <c r="H44" s="364">
        <f t="shared" ref="H44:J44" si="15">D44/D22</f>
        <v>1.1416130018161611E-2</v>
      </c>
      <c r="I44" s="364">
        <f t="shared" si="15"/>
        <v>9.3676674248746664E-3</v>
      </c>
      <c r="J44" s="364">
        <f t="shared" si="15"/>
        <v>8.8055727139589104E-3</v>
      </c>
    </row>
    <row r="45" spans="2:10" x14ac:dyDescent="0.3">
      <c r="B45" s="86"/>
    </row>
    <row r="46" spans="2:10" x14ac:dyDescent="0.3">
      <c r="C46" s="101"/>
      <c r="D46" s="101"/>
      <c r="E46" s="101"/>
      <c r="F46" s="101"/>
    </row>
    <row r="48" spans="2:10" x14ac:dyDescent="0.3">
      <c r="B48" s="86" t="s">
        <v>818</v>
      </c>
    </row>
    <row r="49" spans="2:11" ht="86.4" x14ac:dyDescent="0.3">
      <c r="C49" s="176" t="s">
        <v>861</v>
      </c>
      <c r="D49" s="176" t="s">
        <v>865</v>
      </c>
      <c r="E49" s="176" t="s">
        <v>862</v>
      </c>
      <c r="F49" s="176" t="s">
        <v>863</v>
      </c>
    </row>
    <row r="50" spans="2:11" x14ac:dyDescent="0.3">
      <c r="B50" s="221" t="s">
        <v>743</v>
      </c>
      <c r="C50" s="2" t="s">
        <v>751</v>
      </c>
      <c r="D50" s="2" t="s">
        <v>751</v>
      </c>
      <c r="E50" s="2" t="s">
        <v>746</v>
      </c>
      <c r="F50" s="2" t="s">
        <v>746</v>
      </c>
      <c r="G50" s="103" t="s">
        <v>819</v>
      </c>
    </row>
    <row r="51" spans="2:11" x14ac:dyDescent="0.3">
      <c r="B51" s="221" t="s">
        <v>745</v>
      </c>
      <c r="C51" s="2" t="s">
        <v>752</v>
      </c>
      <c r="D51" s="2" t="s">
        <v>752</v>
      </c>
      <c r="E51" s="2" t="s">
        <v>753</v>
      </c>
      <c r="F51" s="2" t="s">
        <v>753</v>
      </c>
    </row>
    <row r="52" spans="2:11" x14ac:dyDescent="0.3">
      <c r="B52" s="221" t="s">
        <v>756</v>
      </c>
      <c r="C52" s="2" t="s">
        <v>758</v>
      </c>
      <c r="D52" s="2" t="s">
        <v>758</v>
      </c>
      <c r="E52" s="2" t="s">
        <v>759</v>
      </c>
      <c r="F52" s="2" t="s">
        <v>759</v>
      </c>
    </row>
    <row r="53" spans="2:11" x14ac:dyDescent="0.3">
      <c r="B53" s="221" t="s">
        <v>755</v>
      </c>
      <c r="C53" s="221">
        <v>165</v>
      </c>
      <c r="D53" s="221">
        <v>165</v>
      </c>
      <c r="E53" s="221">
        <v>660</v>
      </c>
      <c r="F53" s="221">
        <v>660</v>
      </c>
    </row>
    <row r="54" spans="2:11" x14ac:dyDescent="0.3">
      <c r="B54" s="221" t="s">
        <v>760</v>
      </c>
      <c r="C54" s="221">
        <v>1100</v>
      </c>
      <c r="D54" s="221">
        <v>99</v>
      </c>
      <c r="E54" s="221">
        <v>9</v>
      </c>
      <c r="F54" s="221">
        <v>1</v>
      </c>
    </row>
    <row r="55" spans="2:11" x14ac:dyDescent="0.3">
      <c r="B55" s="221" t="s">
        <v>761</v>
      </c>
      <c r="C55" s="221">
        <v>3</v>
      </c>
      <c r="D55" s="221">
        <v>1</v>
      </c>
      <c r="E55" s="221">
        <v>1</v>
      </c>
      <c r="F55" s="221">
        <v>2E-3</v>
      </c>
      <c r="G55" s="221" t="s">
        <v>820</v>
      </c>
    </row>
    <row r="57" spans="2:11" x14ac:dyDescent="0.3">
      <c r="H57" s="156" t="s">
        <v>1068</v>
      </c>
      <c r="I57" s="156"/>
      <c r="J57" s="156"/>
      <c r="K57" s="156"/>
    </row>
    <row r="58" spans="2:11" x14ac:dyDescent="0.3">
      <c r="B58" s="221" t="s">
        <v>909</v>
      </c>
      <c r="C58" s="101">
        <v>51720000</v>
      </c>
      <c r="D58" s="101">
        <v>38790000</v>
      </c>
      <c r="E58" s="101">
        <v>38790000</v>
      </c>
      <c r="F58" s="101">
        <v>32337930</v>
      </c>
      <c r="H58" s="156">
        <f>C58/$C$61</f>
        <v>0.68994058318940632</v>
      </c>
      <c r="I58" s="156">
        <f>D58/$D$61</f>
        <v>0.90616260160698581</v>
      </c>
      <c r="J58" s="156">
        <f>E58/$E$61</f>
        <v>0.68699042564874768</v>
      </c>
      <c r="K58" s="156">
        <f>F58/$F$61</f>
        <v>0.82019760114128903</v>
      </c>
    </row>
    <row r="59" spans="2:11" x14ac:dyDescent="0.3">
      <c r="B59" s="221" t="s">
        <v>910</v>
      </c>
      <c r="C59" s="101">
        <v>2804376.9</v>
      </c>
      <c r="D59" s="101">
        <v>179286.9</v>
      </c>
      <c r="E59" s="101">
        <v>2823769</v>
      </c>
      <c r="F59" s="101">
        <v>561769</v>
      </c>
      <c r="H59" s="156">
        <f t="shared" ref="H59:H60" si="16">C59/$C$61</f>
        <v>3.7410159200868126E-2</v>
      </c>
      <c r="I59" s="156">
        <f t="shared" ref="I59:I60" si="17">D59/$D$61</f>
        <v>4.1882723314785129E-3</v>
      </c>
      <c r="J59" s="156">
        <f t="shared" ref="J59:J60" si="18">E59/$E$61</f>
        <v>5.0010370385247194E-2</v>
      </c>
      <c r="K59" s="156">
        <f t="shared" ref="K59:K60" si="19">F59/$F$61</f>
        <v>1.4248332722457522E-2</v>
      </c>
    </row>
    <row r="60" spans="2:11" x14ac:dyDescent="0.3">
      <c r="B60" s="8" t="s">
        <v>911</v>
      </c>
      <c r="C60" s="170">
        <v>20438600</v>
      </c>
      <c r="D60" s="170">
        <v>3837600</v>
      </c>
      <c r="E60" s="170">
        <v>14849900</v>
      </c>
      <c r="F60" s="170">
        <v>6527300</v>
      </c>
      <c r="H60" s="156">
        <f t="shared" si="16"/>
        <v>0.27264925760972547</v>
      </c>
      <c r="I60" s="156">
        <f t="shared" si="17"/>
        <v>8.9649126061535675E-2</v>
      </c>
      <c r="J60" s="156">
        <f t="shared" si="18"/>
        <v>0.26299920396600512</v>
      </c>
      <c r="K60" s="156">
        <f t="shared" si="19"/>
        <v>0.16555406613625348</v>
      </c>
    </row>
    <row r="61" spans="2:11" x14ac:dyDescent="0.3">
      <c r="B61" s="146" t="s">
        <v>817</v>
      </c>
      <c r="C61" s="171">
        <v>74962976.900000006</v>
      </c>
      <c r="D61" s="171">
        <v>42806886.899999999</v>
      </c>
      <c r="E61" s="171">
        <v>56463669</v>
      </c>
      <c r="F61" s="171">
        <v>39426999</v>
      </c>
    </row>
    <row r="67" spans="2:38" x14ac:dyDescent="0.3">
      <c r="J67" s="86" t="s">
        <v>836</v>
      </c>
    </row>
    <row r="68" spans="2:38" x14ac:dyDescent="0.3">
      <c r="I68" s="221" t="s">
        <v>984</v>
      </c>
      <c r="J68" s="86" t="s">
        <v>985</v>
      </c>
    </row>
    <row r="69" spans="2:38" x14ac:dyDescent="0.3">
      <c r="I69" s="186" t="s">
        <v>983</v>
      </c>
      <c r="J69" s="175">
        <v>253585934.7987451</v>
      </c>
      <c r="K69" s="175">
        <v>10181303.807877097</v>
      </c>
      <c r="L69" s="175">
        <v>20793513.611778438</v>
      </c>
      <c r="M69" s="175">
        <v>7920137.6822942998</v>
      </c>
    </row>
    <row r="70" spans="2:38" x14ac:dyDescent="0.3">
      <c r="I70" s="186" t="s">
        <v>833</v>
      </c>
      <c r="J70" s="175">
        <v>145259964.5954701</v>
      </c>
      <c r="K70" s="175">
        <v>6016717.77656864</v>
      </c>
      <c r="L70" s="175">
        <v>11867643.998319203</v>
      </c>
      <c r="M70" s="175">
        <v>4558737.7564740013</v>
      </c>
      <c r="T70" s="221">
        <v>4633</v>
      </c>
      <c r="Y70" s="221">
        <v>4633</v>
      </c>
      <c r="AD70" s="221" t="s">
        <v>1037</v>
      </c>
    </row>
    <row r="71" spans="2:38" x14ac:dyDescent="0.3">
      <c r="E71" s="255" t="s">
        <v>832</v>
      </c>
      <c r="F71" s="255"/>
      <c r="G71" s="255"/>
      <c r="H71" s="255"/>
      <c r="I71" s="186" t="s">
        <v>834</v>
      </c>
      <c r="J71" s="175">
        <v>65513262.891641557</v>
      </c>
      <c r="K71" s="175">
        <v>2775626.9553206116</v>
      </c>
      <c r="L71" s="175">
        <v>5300269.4305377314</v>
      </c>
      <c r="M71" s="175">
        <v>2053295.0020437897</v>
      </c>
      <c r="O71" s="86" t="s">
        <v>836</v>
      </c>
      <c r="T71" s="86" t="s">
        <v>912</v>
      </c>
      <c r="AD71" s="240" t="s">
        <v>1016</v>
      </c>
      <c r="AE71" s="240"/>
      <c r="AF71" s="240"/>
      <c r="AG71" s="240"/>
      <c r="AH71" s="240"/>
      <c r="AI71" s="240" t="s">
        <v>1017</v>
      </c>
    </row>
    <row r="72" spans="2:38" x14ac:dyDescent="0.3">
      <c r="E72" s="175">
        <v>1188331148.4249601</v>
      </c>
      <c r="F72" s="175">
        <v>47267387.295680001</v>
      </c>
      <c r="G72" s="175">
        <v>143642850.21551999</v>
      </c>
      <c r="H72" s="175">
        <v>54657799.464400001</v>
      </c>
      <c r="I72" s="186" t="s">
        <v>835</v>
      </c>
      <c r="J72" s="175">
        <v>14150803.311280824</v>
      </c>
      <c r="K72" s="175">
        <v>574414.05851718504</v>
      </c>
      <c r="L72" s="175">
        <v>1311502.5647362208</v>
      </c>
      <c r="M72" s="175">
        <v>505630.32294162514</v>
      </c>
      <c r="O72" s="256" t="s">
        <v>1014</v>
      </c>
      <c r="P72" s="256"/>
      <c r="Q72" s="256"/>
      <c r="R72" s="256"/>
      <c r="T72" s="221" t="s">
        <v>944</v>
      </c>
      <c r="Y72" s="221" t="s">
        <v>943</v>
      </c>
      <c r="AD72" s="221" t="s">
        <v>947</v>
      </c>
      <c r="AI72" s="221" t="s">
        <v>947</v>
      </c>
    </row>
    <row r="73" spans="2:38" ht="28.8" x14ac:dyDescent="0.3">
      <c r="B73" s="176" t="s">
        <v>821</v>
      </c>
      <c r="C73" s="176" t="s">
        <v>822</v>
      </c>
      <c r="D73" s="176" t="s">
        <v>823</v>
      </c>
      <c r="E73" s="181" t="s">
        <v>826</v>
      </c>
      <c r="F73" s="181" t="s">
        <v>827</v>
      </c>
      <c r="G73" s="181" t="s">
        <v>828</v>
      </c>
      <c r="H73" s="181" t="s">
        <v>829</v>
      </c>
      <c r="I73" s="189" t="s">
        <v>837</v>
      </c>
      <c r="J73" s="188" t="s">
        <v>826</v>
      </c>
      <c r="K73" s="188" t="s">
        <v>827</v>
      </c>
      <c r="L73" s="188" t="s">
        <v>828</v>
      </c>
      <c r="M73" s="188" t="s">
        <v>829</v>
      </c>
      <c r="N73" s="8"/>
      <c r="O73" s="188" t="s">
        <v>826</v>
      </c>
      <c r="P73" s="188" t="s">
        <v>827</v>
      </c>
      <c r="Q73" s="188" t="s">
        <v>828</v>
      </c>
      <c r="R73" s="188" t="s">
        <v>829</v>
      </c>
      <c r="S73" s="8"/>
      <c r="T73" s="170">
        <f>4633+17663.1514320624</f>
        <v>22296.151432062499</v>
      </c>
      <c r="U73" s="170">
        <f>4633+10086.3727258125</f>
        <v>14719.3727258125</v>
      </c>
      <c r="V73" s="170">
        <f>4633+13304.252008125</f>
        <v>17937.252008125</v>
      </c>
      <c r="W73" s="170">
        <f>4633+9289.986639375</f>
        <v>13922.986639375</v>
      </c>
      <c r="X73" s="8"/>
      <c r="Y73" s="170">
        <f>4633+36029.0807725625</f>
        <v>40662.080772562498</v>
      </c>
      <c r="Z73" s="170">
        <f>4633+20574.0600163125</f>
        <v>25207.060016312498</v>
      </c>
      <c r="AA73" s="170">
        <f>4633+27137.850913125</f>
        <v>31770.850913124999</v>
      </c>
      <c r="AB73" s="170">
        <f>4633+18949.601394375</f>
        <v>23582.601394375</v>
      </c>
      <c r="AC73" s="8"/>
      <c r="AD73" s="170">
        <f>Y73*15+0.09*(4000000/0.905+E93+T73)</f>
        <v>1012080.8161398232</v>
      </c>
      <c r="AE73" s="170">
        <f>Z73*15+0.09*(4000000/0.905+F93+U73)</f>
        <v>777314.28846547473</v>
      </c>
      <c r="AF73" s="170">
        <f>AA73*15+0.6*(4000000/0.905+G93+V73)</f>
        <v>3141154.9021820528</v>
      </c>
      <c r="AG73" s="170">
        <f>AB73*15+0.6*(4000000/0.905+H93+W73)</f>
        <v>3014747.9975096383</v>
      </c>
      <c r="AI73" s="170">
        <f>Y73*15+0.09*(1000000/0.905+E93+T73)</f>
        <v>713738.27470335911</v>
      </c>
      <c r="AJ73" s="170">
        <f>Z73*15+0.09*(1000000/0.905+F93+U73)</f>
        <v>478971.74702901067</v>
      </c>
      <c r="AK73" s="170">
        <f>AA73*15+0.6*(1000000/0.905+G93+V73)</f>
        <v>1152204.6259389594</v>
      </c>
      <c r="AL73" s="170">
        <f>AB73*15+0.6*(1000000/0.905+H93+W73)</f>
        <v>1025797.7212665447</v>
      </c>
    </row>
    <row r="74" spans="2:38" x14ac:dyDescent="0.3">
      <c r="B74" s="225"/>
      <c r="C74" s="225"/>
      <c r="D74" s="225"/>
      <c r="E74" s="181"/>
      <c r="F74" s="181"/>
      <c r="G74" s="181"/>
      <c r="H74" s="181"/>
      <c r="I74" s="145" t="s">
        <v>976</v>
      </c>
      <c r="J74" s="235">
        <f>J69*$D$75</f>
        <v>253585934.7987451</v>
      </c>
      <c r="K74" s="235">
        <f t="shared" ref="K74:M74" si="20">K69*$D$75</f>
        <v>10181303.807877097</v>
      </c>
      <c r="L74" s="235">
        <f t="shared" si="20"/>
        <v>20793513.611778438</v>
      </c>
      <c r="M74" s="235">
        <f t="shared" si="20"/>
        <v>7920137.6822942998</v>
      </c>
      <c r="N74" s="207"/>
      <c r="O74" s="182">
        <f>E$76-J74</f>
        <v>934745213.62621498</v>
      </c>
      <c r="P74" s="182">
        <f t="shared" ref="P74:R77" si="21">F$76-K74</f>
        <v>37086083.487802908</v>
      </c>
      <c r="Q74" s="182">
        <f t="shared" si="21"/>
        <v>122849336.60374156</v>
      </c>
      <c r="R74" s="182">
        <f t="shared" si="21"/>
        <v>46737661.782105699</v>
      </c>
      <c r="S74" s="207"/>
      <c r="T74" s="182">
        <f>O74-T$73</f>
        <v>934722917.47478294</v>
      </c>
      <c r="U74" s="182">
        <f t="shared" ref="U74:W89" si="22">P74-U$73</f>
        <v>37071364.115077093</v>
      </c>
      <c r="V74" s="182">
        <f t="shared" si="22"/>
        <v>122831399.35173343</v>
      </c>
      <c r="W74" s="182">
        <f t="shared" si="22"/>
        <v>46723738.795466326</v>
      </c>
      <c r="X74" s="207"/>
      <c r="Y74" s="182">
        <f>O74-Y$73</f>
        <v>934704551.54544246</v>
      </c>
      <c r="Z74" s="182">
        <f t="shared" ref="Z74:AB89" si="23">P74-Z$73</f>
        <v>37060876.427786596</v>
      </c>
      <c r="AA74" s="182">
        <f t="shared" si="23"/>
        <v>122817565.75282843</v>
      </c>
      <c r="AB74" s="182">
        <f t="shared" si="23"/>
        <v>46714079.180711322</v>
      </c>
      <c r="AC74" s="207"/>
      <c r="AD74" s="182">
        <f>O74-AD$73</f>
        <v>933733132.81007516</v>
      </c>
      <c r="AE74" s="182">
        <f t="shared" ref="AE74:AG89" si="24">P74-AE$73</f>
        <v>36308769.19933743</v>
      </c>
      <c r="AF74" s="182">
        <f t="shared" si="24"/>
        <v>119708181.7015595</v>
      </c>
      <c r="AG74" s="182">
        <f t="shared" si="24"/>
        <v>43722913.784596063</v>
      </c>
      <c r="AI74" s="182">
        <f>O74-AI$73</f>
        <v>934031475.3515116</v>
      </c>
      <c r="AJ74" s="182">
        <f t="shared" ref="AJ74:AL89" si="25">P74-AJ$73</f>
        <v>36607111.740773894</v>
      </c>
      <c r="AK74" s="182">
        <f t="shared" si="25"/>
        <v>121697131.9778026</v>
      </c>
      <c r="AL74" s="182">
        <f t="shared" si="25"/>
        <v>45711864.060839154</v>
      </c>
    </row>
    <row r="75" spans="2:38" x14ac:dyDescent="0.3">
      <c r="B75" s="222" t="s">
        <v>824</v>
      </c>
      <c r="C75" s="179">
        <v>1</v>
      </c>
      <c r="D75" s="179">
        <v>1</v>
      </c>
      <c r="I75" s="221" t="s">
        <v>833</v>
      </c>
      <c r="J75" s="235">
        <f t="shared" ref="J75:M77" si="26">J70*$D$75</f>
        <v>145259964.5954701</v>
      </c>
      <c r="K75" s="235">
        <f t="shared" si="26"/>
        <v>6016717.77656864</v>
      </c>
      <c r="L75" s="235">
        <f t="shared" si="26"/>
        <v>11867643.998319203</v>
      </c>
      <c r="M75" s="235">
        <f t="shared" si="26"/>
        <v>4558737.7564740013</v>
      </c>
      <c r="O75" s="182">
        <f>E$76-J75</f>
        <v>1043071183.8294901</v>
      </c>
      <c r="P75" s="182">
        <f t="shared" si="21"/>
        <v>41250669.519111365</v>
      </c>
      <c r="Q75" s="182">
        <f t="shared" si="21"/>
        <v>131775206.21720079</v>
      </c>
      <c r="R75" s="182">
        <f t="shared" si="21"/>
        <v>50099061.707925998</v>
      </c>
      <c r="T75" s="182">
        <f>O75-T$73</f>
        <v>1043048887.678058</v>
      </c>
      <c r="U75" s="182">
        <f t="shared" si="22"/>
        <v>41235950.14638555</v>
      </c>
      <c r="V75" s="182">
        <f t="shared" si="22"/>
        <v>131757268.96519266</v>
      </c>
      <c r="W75" s="182">
        <f t="shared" si="22"/>
        <v>50085138.721286625</v>
      </c>
      <c r="Y75" s="182">
        <f>O75-Y$73</f>
        <v>1043030521.7487175</v>
      </c>
      <c r="Z75" s="182">
        <f t="shared" si="23"/>
        <v>41225462.459095053</v>
      </c>
      <c r="AA75" s="182">
        <f t="shared" si="23"/>
        <v>131743435.36628766</v>
      </c>
      <c r="AB75" s="182">
        <f t="shared" si="23"/>
        <v>50075479.10653162</v>
      </c>
      <c r="AD75" s="182">
        <f>O75-AD$73</f>
        <v>1042059103.0133502</v>
      </c>
      <c r="AE75" s="182">
        <f t="shared" si="24"/>
        <v>40473355.230645888</v>
      </c>
      <c r="AF75" s="182">
        <f t="shared" si="24"/>
        <v>128634051.31501873</v>
      </c>
      <c r="AG75" s="182">
        <f t="shared" si="24"/>
        <v>47084313.710416362</v>
      </c>
      <c r="AI75" s="182">
        <f t="shared" ref="AI75:AL97" si="27">O75-AI$73</f>
        <v>1042357445.5547867</v>
      </c>
      <c r="AJ75" s="182">
        <f t="shared" si="25"/>
        <v>40771697.772082351</v>
      </c>
      <c r="AK75" s="182">
        <f t="shared" si="25"/>
        <v>130623001.59126183</v>
      </c>
      <c r="AL75" s="182">
        <f t="shared" si="25"/>
        <v>49073263.986659452</v>
      </c>
    </row>
    <row r="76" spans="2:38" x14ac:dyDescent="0.3">
      <c r="B76" s="222"/>
      <c r="C76" s="179"/>
      <c r="D76" s="179" t="s">
        <v>830</v>
      </c>
      <c r="E76" s="182">
        <f>E72*$D75</f>
        <v>1188331148.4249601</v>
      </c>
      <c r="F76" s="182">
        <f t="shared" ref="F76:H76" si="28">F72*$D75</f>
        <v>47267387.295680001</v>
      </c>
      <c r="G76" s="182">
        <f t="shared" si="28"/>
        <v>143642850.21551999</v>
      </c>
      <c r="H76" s="195">
        <f t="shared" si="28"/>
        <v>54657799.464400001</v>
      </c>
      <c r="I76" s="221" t="s">
        <v>834</v>
      </c>
      <c r="J76" s="235">
        <f t="shared" si="26"/>
        <v>65513262.891641557</v>
      </c>
      <c r="K76" s="235">
        <f t="shared" si="26"/>
        <v>2775626.9553206116</v>
      </c>
      <c r="L76" s="235">
        <f t="shared" si="26"/>
        <v>5300269.4305377314</v>
      </c>
      <c r="M76" s="235">
        <f t="shared" si="26"/>
        <v>2053295.0020437897</v>
      </c>
      <c r="O76" s="182">
        <f t="shared" ref="O76:O77" si="29">E$76-J76</f>
        <v>1122817885.5333185</v>
      </c>
      <c r="P76" s="182">
        <f t="shared" si="21"/>
        <v>44491760.34035939</v>
      </c>
      <c r="Q76" s="182">
        <f t="shared" si="21"/>
        <v>138342580.78498226</v>
      </c>
      <c r="R76" s="182">
        <f t="shared" si="21"/>
        <v>52604504.46235621</v>
      </c>
      <c r="T76" s="182">
        <f t="shared" ref="T76:W97" si="30">O76-T$73</f>
        <v>1122795589.3818865</v>
      </c>
      <c r="U76" s="182">
        <f t="shared" si="22"/>
        <v>44477040.967633575</v>
      </c>
      <c r="V76" s="182">
        <f t="shared" si="22"/>
        <v>138324643.53297415</v>
      </c>
      <c r="W76" s="182">
        <f t="shared" si="22"/>
        <v>52590581.475716837</v>
      </c>
      <c r="Y76" s="182">
        <f t="shared" ref="Y76:AB97" si="31">O76-Y$73</f>
        <v>1122777223.4525459</v>
      </c>
      <c r="Z76" s="182">
        <f t="shared" si="23"/>
        <v>44466553.280343078</v>
      </c>
      <c r="AA76" s="182">
        <f t="shared" si="23"/>
        <v>138310809.93406913</v>
      </c>
      <c r="AB76" s="182">
        <f t="shared" si="23"/>
        <v>52580921.860961832</v>
      </c>
      <c r="AD76" s="182">
        <f t="shared" ref="AD76:AG97" si="32">O76-AD$73</f>
        <v>1121805804.7171786</v>
      </c>
      <c r="AE76" s="182">
        <f t="shared" si="24"/>
        <v>43714446.051893912</v>
      </c>
      <c r="AF76" s="182">
        <f t="shared" si="24"/>
        <v>135201425.88280022</v>
      </c>
      <c r="AG76" s="182">
        <f t="shared" si="24"/>
        <v>49589756.464846574</v>
      </c>
      <c r="AI76" s="182">
        <f t="shared" si="27"/>
        <v>1122104147.2586153</v>
      </c>
      <c r="AJ76" s="182">
        <f t="shared" si="25"/>
        <v>44012788.593330376</v>
      </c>
      <c r="AK76" s="182">
        <f t="shared" si="25"/>
        <v>137190376.15904331</v>
      </c>
      <c r="AL76" s="182">
        <f t="shared" si="25"/>
        <v>51578706.741089664</v>
      </c>
    </row>
    <row r="77" spans="2:38" x14ac:dyDescent="0.3">
      <c r="B77" s="222"/>
      <c r="C77" s="179"/>
      <c r="D77" s="179" t="s">
        <v>831</v>
      </c>
      <c r="E77" s="182">
        <f>E72*$C$75</f>
        <v>1188331148.4249601</v>
      </c>
      <c r="F77" s="182">
        <f t="shared" ref="F77:H77" si="33">F72*$C$75</f>
        <v>47267387.295680001</v>
      </c>
      <c r="G77" s="182">
        <f t="shared" si="33"/>
        <v>143642850.21551999</v>
      </c>
      <c r="H77" s="195">
        <f t="shared" si="33"/>
        <v>54657799.464400001</v>
      </c>
      <c r="I77" s="8" t="s">
        <v>835</v>
      </c>
      <c r="J77" s="236">
        <f t="shared" si="26"/>
        <v>14150803.311280824</v>
      </c>
      <c r="K77" s="236">
        <f t="shared" si="26"/>
        <v>574414.05851718504</v>
      </c>
      <c r="L77" s="236">
        <f t="shared" si="26"/>
        <v>1311502.5647362208</v>
      </c>
      <c r="M77" s="236">
        <f t="shared" si="26"/>
        <v>505630.32294162514</v>
      </c>
      <c r="N77" s="8"/>
      <c r="O77" s="194">
        <f t="shared" si="29"/>
        <v>1174180345.1136794</v>
      </c>
      <c r="P77" s="194">
        <f t="shared" si="21"/>
        <v>46692973.237162814</v>
      </c>
      <c r="Q77" s="194">
        <f t="shared" si="21"/>
        <v>142331347.65078378</v>
      </c>
      <c r="R77" s="194">
        <f t="shared" si="21"/>
        <v>54152169.141458377</v>
      </c>
      <c r="S77" s="8"/>
      <c r="T77" s="194">
        <f t="shared" si="30"/>
        <v>1174158048.9622474</v>
      </c>
      <c r="U77" s="194">
        <f t="shared" si="22"/>
        <v>46678253.864436999</v>
      </c>
      <c r="V77" s="194">
        <f t="shared" si="22"/>
        <v>142313410.39877567</v>
      </c>
      <c r="W77" s="194">
        <f t="shared" si="22"/>
        <v>54138246.154819004</v>
      </c>
      <c r="X77" s="8"/>
      <c r="Y77" s="194">
        <f t="shared" si="31"/>
        <v>1174139683.0329068</v>
      </c>
      <c r="Z77" s="194">
        <f t="shared" si="23"/>
        <v>46667766.177146502</v>
      </c>
      <c r="AA77" s="194">
        <f t="shared" si="23"/>
        <v>142299576.79987064</v>
      </c>
      <c r="AB77" s="194">
        <f t="shared" si="23"/>
        <v>54128586.540064</v>
      </c>
      <c r="AC77" s="8"/>
      <c r="AD77" s="194">
        <f t="shared" si="32"/>
        <v>1173168264.2975395</v>
      </c>
      <c r="AE77" s="194">
        <f t="shared" si="24"/>
        <v>45915658.948697336</v>
      </c>
      <c r="AF77" s="194">
        <f t="shared" si="24"/>
        <v>139190192.74860173</v>
      </c>
      <c r="AG77" s="194">
        <f t="shared" si="24"/>
        <v>51137421.143948741</v>
      </c>
      <c r="AI77" s="194">
        <f t="shared" si="27"/>
        <v>1173466606.8389761</v>
      </c>
      <c r="AJ77" s="194">
        <f t="shared" si="25"/>
        <v>46214001.4901338</v>
      </c>
      <c r="AK77" s="194">
        <f t="shared" si="25"/>
        <v>141179143.02484483</v>
      </c>
      <c r="AL77" s="194">
        <f t="shared" si="25"/>
        <v>53126371.420191832</v>
      </c>
    </row>
    <row r="78" spans="2:38" x14ac:dyDescent="0.3">
      <c r="B78" s="222"/>
      <c r="C78" s="179"/>
      <c r="D78" s="179"/>
      <c r="E78" s="182"/>
      <c r="F78" s="182"/>
      <c r="G78" s="182"/>
      <c r="H78" s="195"/>
      <c r="I78" s="145" t="s">
        <v>976</v>
      </c>
      <c r="J78" s="208">
        <f>J69*$D$79</f>
        <v>116956876.16039883</v>
      </c>
      <c r="K78" s="208">
        <f t="shared" ref="K78:M81" si="34">K69*$D$79</f>
        <v>4695739.4918386117</v>
      </c>
      <c r="L78" s="208">
        <f t="shared" si="34"/>
        <v>9590217.999915557</v>
      </c>
      <c r="M78" s="208">
        <f t="shared" si="34"/>
        <v>3652862.5407263185</v>
      </c>
      <c r="N78" s="207"/>
      <c r="O78" s="182">
        <f>E$80-J78</f>
        <v>431115709.4669739</v>
      </c>
      <c r="P78" s="182">
        <f t="shared" ref="P78:R81" si="35">F$80-K78</f>
        <v>17104546.737576555</v>
      </c>
      <c r="Q78" s="182">
        <f t="shared" si="35"/>
        <v>56659588.233684853</v>
      </c>
      <c r="R78" s="182">
        <f t="shared" si="35"/>
        <v>21555970.465848535</v>
      </c>
      <c r="S78" s="207"/>
      <c r="T78" s="182">
        <f t="shared" si="30"/>
        <v>431093413.31554186</v>
      </c>
      <c r="U78" s="182">
        <f t="shared" si="22"/>
        <v>17089827.364850745</v>
      </c>
      <c r="V78" s="182">
        <f t="shared" si="22"/>
        <v>56641650.981676728</v>
      </c>
      <c r="W78" s="182">
        <f t="shared" si="22"/>
        <v>21542047.479209159</v>
      </c>
      <c r="X78" s="207"/>
      <c r="Y78" s="182">
        <f t="shared" si="31"/>
        <v>431075047.38620132</v>
      </c>
      <c r="Z78" s="182">
        <f t="shared" si="23"/>
        <v>17079339.677560244</v>
      </c>
      <c r="AA78" s="182">
        <f t="shared" si="23"/>
        <v>56627817.38277173</v>
      </c>
      <c r="AB78" s="182">
        <f t="shared" si="23"/>
        <v>21532387.864454161</v>
      </c>
      <c r="AC78" s="207"/>
      <c r="AD78" s="182">
        <f t="shared" si="32"/>
        <v>430103628.65083408</v>
      </c>
      <c r="AE78" s="182">
        <f t="shared" si="24"/>
        <v>16327232.449111082</v>
      </c>
      <c r="AF78" s="182">
        <f t="shared" si="24"/>
        <v>53518433.331502803</v>
      </c>
      <c r="AG78" s="182">
        <f t="shared" si="24"/>
        <v>18541222.468338896</v>
      </c>
      <c r="AI78" s="182">
        <f t="shared" si="27"/>
        <v>430401971.19227052</v>
      </c>
      <c r="AJ78" s="182">
        <f t="shared" si="25"/>
        <v>16625574.990547545</v>
      </c>
      <c r="AK78" s="182">
        <f t="shared" si="25"/>
        <v>55507383.607745893</v>
      </c>
      <c r="AL78" s="182">
        <f t="shared" si="25"/>
        <v>20530172.74458199</v>
      </c>
    </row>
    <row r="79" spans="2:38" x14ac:dyDescent="0.3">
      <c r="B79" s="222" t="s">
        <v>891</v>
      </c>
      <c r="C79" s="180">
        <v>9.7420000000000007E-3</v>
      </c>
      <c r="D79" s="180">
        <v>0.46121200000000001</v>
      </c>
      <c r="I79" s="221" t="s">
        <v>833</v>
      </c>
      <c r="J79" s="101">
        <f>J70*$D$79</f>
        <v>66995638.791005954</v>
      </c>
      <c r="K79" s="101">
        <f t="shared" si="34"/>
        <v>2774982.4391667754</v>
      </c>
      <c r="L79" s="101">
        <f t="shared" si="34"/>
        <v>5473499.8237527963</v>
      </c>
      <c r="M79" s="101">
        <f t="shared" si="34"/>
        <v>2102544.5581388869</v>
      </c>
      <c r="O79" s="182">
        <f>E$80-J79</f>
        <v>481076946.83636677</v>
      </c>
      <c r="P79" s="182">
        <f t="shared" si="35"/>
        <v>19025303.79024839</v>
      </c>
      <c r="Q79" s="182">
        <f t="shared" si="35"/>
        <v>60776306.40984761</v>
      </c>
      <c r="R79" s="182">
        <f t="shared" si="35"/>
        <v>23106288.448435966</v>
      </c>
      <c r="T79" s="182">
        <f t="shared" si="30"/>
        <v>481054650.68493474</v>
      </c>
      <c r="U79" s="182">
        <f t="shared" si="22"/>
        <v>19010584.417522579</v>
      </c>
      <c r="V79" s="182">
        <f t="shared" si="22"/>
        <v>60758369.157839485</v>
      </c>
      <c r="W79" s="182">
        <f t="shared" si="22"/>
        <v>23092365.461796589</v>
      </c>
      <c r="Y79" s="182">
        <f t="shared" si="31"/>
        <v>481036284.75559419</v>
      </c>
      <c r="Z79" s="182">
        <f t="shared" si="23"/>
        <v>19000096.730232079</v>
      </c>
      <c r="AA79" s="182">
        <f t="shared" si="23"/>
        <v>60744535.558934487</v>
      </c>
      <c r="AB79" s="182">
        <f t="shared" si="23"/>
        <v>23082705.847041592</v>
      </c>
      <c r="AD79" s="182">
        <f t="shared" si="32"/>
        <v>480064866.02022696</v>
      </c>
      <c r="AE79" s="182">
        <f t="shared" si="24"/>
        <v>18247989.501782916</v>
      </c>
      <c r="AF79" s="182">
        <f t="shared" si="24"/>
        <v>57635151.50766556</v>
      </c>
      <c r="AG79" s="182">
        <f t="shared" si="24"/>
        <v>20091540.450926326</v>
      </c>
      <c r="AI79" s="182">
        <f t="shared" si="27"/>
        <v>480363208.56166339</v>
      </c>
      <c r="AJ79" s="182">
        <f t="shared" si="25"/>
        <v>18546332.04321938</v>
      </c>
      <c r="AK79" s="182">
        <f t="shared" si="25"/>
        <v>59624101.78390865</v>
      </c>
      <c r="AL79" s="182">
        <f t="shared" si="25"/>
        <v>22080490.727169421</v>
      </c>
    </row>
    <row r="80" spans="2:38" x14ac:dyDescent="0.3">
      <c r="B80" s="222"/>
      <c r="C80" s="180"/>
      <c r="D80" s="179" t="s">
        <v>830</v>
      </c>
      <c r="E80" s="182">
        <f>E72*$D$79</f>
        <v>548072585.62737274</v>
      </c>
      <c r="F80" s="182">
        <f t="shared" ref="F80:H80" si="36">F72*$D$79</f>
        <v>21800286.229415167</v>
      </c>
      <c r="G80" s="182">
        <f t="shared" si="36"/>
        <v>66249806.233600408</v>
      </c>
      <c r="H80" s="195">
        <f t="shared" si="36"/>
        <v>25208833.006574854</v>
      </c>
      <c r="I80" s="221" t="s">
        <v>834</v>
      </c>
      <c r="J80" s="101">
        <f>J71*$D$79</f>
        <v>30215503.004779786</v>
      </c>
      <c r="K80" s="101">
        <f t="shared" si="34"/>
        <v>1280152.45931733</v>
      </c>
      <c r="L80" s="101">
        <f t="shared" si="34"/>
        <v>2444547.8645971683</v>
      </c>
      <c r="M80" s="101">
        <f t="shared" si="34"/>
        <v>947004.29448262032</v>
      </c>
      <c r="O80" s="182">
        <f t="shared" ref="O80:O81" si="37">E$80-J80</f>
        <v>517857082.62259293</v>
      </c>
      <c r="P80" s="182">
        <f t="shared" si="35"/>
        <v>20520133.770097837</v>
      </c>
      <c r="Q80" s="182">
        <f t="shared" si="35"/>
        <v>63805258.369003236</v>
      </c>
      <c r="R80" s="182">
        <f t="shared" si="35"/>
        <v>24261828.712092236</v>
      </c>
      <c r="T80" s="182">
        <f t="shared" si="30"/>
        <v>517834786.47116089</v>
      </c>
      <c r="U80" s="182">
        <f t="shared" si="22"/>
        <v>20505414.397372026</v>
      </c>
      <c r="V80" s="182">
        <f t="shared" si="22"/>
        <v>63787321.116995111</v>
      </c>
      <c r="W80" s="182">
        <f t="shared" si="22"/>
        <v>24247905.725452859</v>
      </c>
      <c r="Y80" s="182">
        <f t="shared" si="31"/>
        <v>517816420.54182035</v>
      </c>
      <c r="Z80" s="182">
        <f t="shared" si="23"/>
        <v>20494926.710081525</v>
      </c>
      <c r="AA80" s="182">
        <f t="shared" si="23"/>
        <v>63773487.518090114</v>
      </c>
      <c r="AB80" s="182">
        <f t="shared" si="23"/>
        <v>24238246.110697862</v>
      </c>
      <c r="AD80" s="182">
        <f t="shared" si="32"/>
        <v>516845001.80645311</v>
      </c>
      <c r="AE80" s="182">
        <f t="shared" si="24"/>
        <v>19742819.481632363</v>
      </c>
      <c r="AF80" s="182">
        <f t="shared" si="24"/>
        <v>60664103.466821186</v>
      </c>
      <c r="AG80" s="182">
        <f t="shared" si="24"/>
        <v>21247080.714582596</v>
      </c>
      <c r="AI80" s="182">
        <f t="shared" si="27"/>
        <v>517143344.34788954</v>
      </c>
      <c r="AJ80" s="182">
        <f t="shared" si="25"/>
        <v>20041162.023068827</v>
      </c>
      <c r="AK80" s="182">
        <f t="shared" si="25"/>
        <v>62653053.743064277</v>
      </c>
      <c r="AL80" s="182">
        <f t="shared" si="25"/>
        <v>23236030.99082569</v>
      </c>
    </row>
    <row r="81" spans="2:38" x14ac:dyDescent="0.3">
      <c r="B81" s="222"/>
      <c r="C81" s="180"/>
      <c r="D81" s="179" t="s">
        <v>831</v>
      </c>
      <c r="E81" s="182">
        <f>E72*$C$79</f>
        <v>11576722.047955962</v>
      </c>
      <c r="F81" s="195">
        <f t="shared" ref="F81:H81" si="38">F72*$C$79</f>
        <v>460478.88703451463</v>
      </c>
      <c r="G81" s="183">
        <f t="shared" si="38"/>
        <v>1399368.6467995958</v>
      </c>
      <c r="H81" s="184">
        <f t="shared" si="38"/>
        <v>532476.28238218487</v>
      </c>
      <c r="I81" s="8" t="s">
        <v>835</v>
      </c>
      <c r="J81" s="170">
        <f>J72*$D$79</f>
        <v>6526520.2968024518</v>
      </c>
      <c r="K81" s="170">
        <f t="shared" si="34"/>
        <v>264926.65675682796</v>
      </c>
      <c r="L81" s="170">
        <f t="shared" si="34"/>
        <v>604880.72088712186</v>
      </c>
      <c r="M81" s="170">
        <f t="shared" si="34"/>
        <v>233202.77250455282</v>
      </c>
      <c r="N81" s="8"/>
      <c r="O81" s="194">
        <f t="shared" si="37"/>
        <v>541546065.33057034</v>
      </c>
      <c r="P81" s="194">
        <f t="shared" si="35"/>
        <v>21535359.572658338</v>
      </c>
      <c r="Q81" s="194">
        <f t="shared" si="35"/>
        <v>65644925.512713283</v>
      </c>
      <c r="R81" s="194">
        <f t="shared" si="35"/>
        <v>24975630.234070301</v>
      </c>
      <c r="S81" s="8"/>
      <c r="T81" s="194">
        <f t="shared" si="30"/>
        <v>541523769.1791383</v>
      </c>
      <c r="U81" s="194">
        <f t="shared" si="22"/>
        <v>21520640.199932527</v>
      </c>
      <c r="V81" s="194">
        <f t="shared" si="22"/>
        <v>65626988.260705158</v>
      </c>
      <c r="W81" s="194">
        <f t="shared" si="22"/>
        <v>24961707.247430924</v>
      </c>
      <c r="X81" s="8"/>
      <c r="Y81" s="194">
        <f t="shared" si="31"/>
        <v>541505403.24979782</v>
      </c>
      <c r="Z81" s="194">
        <f t="shared" si="23"/>
        <v>21510152.512642026</v>
      </c>
      <c r="AA81" s="194">
        <f t="shared" si="23"/>
        <v>65613154.661800161</v>
      </c>
      <c r="AB81" s="194">
        <f t="shared" si="23"/>
        <v>24952047.632675927</v>
      </c>
      <c r="AC81" s="8"/>
      <c r="AD81" s="194">
        <f t="shared" si="32"/>
        <v>540533984.51443052</v>
      </c>
      <c r="AE81" s="194">
        <f t="shared" si="24"/>
        <v>20758045.284192864</v>
      </c>
      <c r="AF81" s="194">
        <f t="shared" si="24"/>
        <v>62503770.610531233</v>
      </c>
      <c r="AG81" s="194">
        <f t="shared" si="24"/>
        <v>21960882.236560661</v>
      </c>
      <c r="AI81" s="194">
        <f t="shared" si="27"/>
        <v>540832327.05586696</v>
      </c>
      <c r="AJ81" s="194">
        <f t="shared" si="25"/>
        <v>21056387.825629327</v>
      </c>
      <c r="AK81" s="194">
        <f t="shared" si="25"/>
        <v>64492720.886774324</v>
      </c>
      <c r="AL81" s="194">
        <f t="shared" si="25"/>
        <v>23949832.512803756</v>
      </c>
    </row>
    <row r="82" spans="2:38" x14ac:dyDescent="0.3">
      <c r="B82" s="222"/>
      <c r="C82" s="180"/>
      <c r="D82" s="179"/>
      <c r="E82" s="182"/>
      <c r="F82" s="195"/>
      <c r="G82" s="183"/>
      <c r="H82" s="184"/>
      <c r="I82" s="145" t="s">
        <v>976</v>
      </c>
      <c r="J82" s="208">
        <f>J69*$D$83</f>
        <v>2663920.2450608173</v>
      </c>
      <c r="K82" s="208">
        <f t="shared" ref="K82:M82" si="39">K69*$D$83</f>
        <v>106954.59650174891</v>
      </c>
      <c r="L82" s="208">
        <f t="shared" si="39"/>
        <v>218435.86049173251</v>
      </c>
      <c r="M82" s="208">
        <f t="shared" si="39"/>
        <v>83201.046352501624</v>
      </c>
      <c r="N82" s="207"/>
      <c r="O82" s="182">
        <f>E$84-J82</f>
        <v>9819498.4691433907</v>
      </c>
      <c r="P82" s="195">
        <f t="shared" ref="P82:R85" si="40">F$84-K82</f>
        <v>389589.30703936954</v>
      </c>
      <c r="Q82" s="182">
        <f t="shared" si="40"/>
        <v>1290532.2810223049</v>
      </c>
      <c r="R82" s="195">
        <f t="shared" si="40"/>
        <v>490979.1370210204</v>
      </c>
      <c r="S82" s="207"/>
      <c r="T82" s="182">
        <f t="shared" si="30"/>
        <v>9797202.3177113272</v>
      </c>
      <c r="U82" s="195">
        <f t="shared" si="22"/>
        <v>374869.93431355705</v>
      </c>
      <c r="V82" s="182">
        <f t="shared" si="22"/>
        <v>1272595.0290141799</v>
      </c>
      <c r="W82" s="195">
        <f t="shared" si="22"/>
        <v>477056.15038164542</v>
      </c>
      <c r="X82" s="207"/>
      <c r="Y82" s="182">
        <f t="shared" si="31"/>
        <v>9778836.3883708287</v>
      </c>
      <c r="Z82" s="195">
        <f t="shared" si="23"/>
        <v>364382.24702305702</v>
      </c>
      <c r="AA82" s="182">
        <f t="shared" si="23"/>
        <v>1258761.4301091798</v>
      </c>
      <c r="AB82" s="195">
        <f t="shared" si="23"/>
        <v>467396.53562664543</v>
      </c>
      <c r="AC82" s="207"/>
      <c r="AD82" s="182">
        <f t="shared" si="32"/>
        <v>8807417.6530035678</v>
      </c>
      <c r="AE82" s="184">
        <f t="shared" si="24"/>
        <v>-387724.98142610519</v>
      </c>
      <c r="AF82" s="184">
        <f t="shared" si="24"/>
        <v>-1850622.6211597479</v>
      </c>
      <c r="AG82" s="184">
        <f t="shared" si="24"/>
        <v>-2523768.8604886178</v>
      </c>
      <c r="AI82" s="182">
        <f t="shared" si="27"/>
        <v>9105760.1944400314</v>
      </c>
      <c r="AJ82" s="183">
        <f t="shared" si="25"/>
        <v>-89382.439989641134</v>
      </c>
      <c r="AK82" s="195">
        <f t="shared" si="25"/>
        <v>138327.65508334548</v>
      </c>
      <c r="AL82" s="184">
        <f t="shared" si="25"/>
        <v>-534818.58424552425</v>
      </c>
    </row>
    <row r="83" spans="2:38" x14ac:dyDescent="0.3">
      <c r="B83" s="222" t="s">
        <v>892</v>
      </c>
      <c r="C83" s="180">
        <v>2.3630000000000001E-3</v>
      </c>
      <c r="D83" s="180">
        <v>1.0505E-2</v>
      </c>
      <c r="I83" s="221" t="s">
        <v>833</v>
      </c>
      <c r="J83" s="208">
        <f t="shared" ref="J83:M85" si="41">J70*$D$83</f>
        <v>1525955.9280754135</v>
      </c>
      <c r="K83" s="208">
        <f t="shared" si="41"/>
        <v>63205.620242853569</v>
      </c>
      <c r="L83" s="208">
        <f t="shared" si="41"/>
        <v>124669.60020234324</v>
      </c>
      <c r="M83" s="208">
        <f t="shared" si="41"/>
        <v>47889.540131759386</v>
      </c>
      <c r="O83" s="182">
        <f>E$84-J83</f>
        <v>10957462.786128793</v>
      </c>
      <c r="P83" s="195">
        <f t="shared" si="40"/>
        <v>433338.28329826484</v>
      </c>
      <c r="Q83" s="182">
        <f t="shared" si="40"/>
        <v>1384298.5413116943</v>
      </c>
      <c r="R83" s="195">
        <f t="shared" si="40"/>
        <v>526290.64324176265</v>
      </c>
      <c r="T83" s="182">
        <f t="shared" si="30"/>
        <v>10935166.634696729</v>
      </c>
      <c r="U83" s="195">
        <f t="shared" si="22"/>
        <v>418618.91057245235</v>
      </c>
      <c r="V83" s="182">
        <f t="shared" si="22"/>
        <v>1366361.2893035694</v>
      </c>
      <c r="W83" s="195">
        <f t="shared" si="22"/>
        <v>512367.65660238767</v>
      </c>
      <c r="Y83" s="182">
        <f t="shared" si="31"/>
        <v>10916800.705356231</v>
      </c>
      <c r="Z83" s="195">
        <f t="shared" si="23"/>
        <v>408131.22328195232</v>
      </c>
      <c r="AA83" s="182">
        <f t="shared" si="23"/>
        <v>1352527.6903985692</v>
      </c>
      <c r="AB83" s="195">
        <f t="shared" si="23"/>
        <v>502708.04184738768</v>
      </c>
      <c r="AD83" s="182">
        <f t="shared" si="32"/>
        <v>9945381.9699889701</v>
      </c>
      <c r="AE83" s="184">
        <f t="shared" si="24"/>
        <v>-343976.00516720989</v>
      </c>
      <c r="AF83" s="184">
        <f t="shared" si="24"/>
        <v>-1756856.3608703585</v>
      </c>
      <c r="AG83" s="184">
        <f t="shared" si="24"/>
        <v>-2488457.3542678757</v>
      </c>
      <c r="AI83" s="182">
        <f t="shared" si="27"/>
        <v>10243724.511425434</v>
      </c>
      <c r="AJ83" s="183">
        <f t="shared" si="25"/>
        <v>-45633.463730745832</v>
      </c>
      <c r="AK83" s="195">
        <f t="shared" si="25"/>
        <v>232093.91537273489</v>
      </c>
      <c r="AL83" s="184">
        <f t="shared" si="25"/>
        <v>-499507.07802478201</v>
      </c>
    </row>
    <row r="84" spans="2:38" x14ac:dyDescent="0.3">
      <c r="B84" s="222"/>
      <c r="C84" s="180"/>
      <c r="D84" s="179" t="s">
        <v>830</v>
      </c>
      <c r="E84" s="182">
        <f>E72*$D$83</f>
        <v>12483418.714204207</v>
      </c>
      <c r="F84" s="195">
        <f t="shared" ref="F84:H84" si="42">F72*$D$83</f>
        <v>496543.90354111843</v>
      </c>
      <c r="G84" s="183">
        <f t="shared" si="42"/>
        <v>1508968.1415140375</v>
      </c>
      <c r="H84" s="184">
        <f t="shared" si="42"/>
        <v>574180.18337352201</v>
      </c>
      <c r="I84" s="221" t="s">
        <v>834</v>
      </c>
      <c r="J84" s="208">
        <f t="shared" si="41"/>
        <v>688216.82667669456</v>
      </c>
      <c r="K84" s="208">
        <f t="shared" si="41"/>
        <v>29157.961165643024</v>
      </c>
      <c r="L84" s="208">
        <f t="shared" si="41"/>
        <v>55679.330367798873</v>
      </c>
      <c r="M84" s="208">
        <f t="shared" si="41"/>
        <v>21569.863996470012</v>
      </c>
      <c r="O84" s="182">
        <f t="shared" ref="O84:O85" si="43">E$84-J84</f>
        <v>11795201.887527512</v>
      </c>
      <c r="P84" s="195">
        <f t="shared" si="40"/>
        <v>467385.94237547542</v>
      </c>
      <c r="Q84" s="182">
        <f t="shared" si="40"/>
        <v>1453288.8111462386</v>
      </c>
      <c r="R84" s="195">
        <f t="shared" si="40"/>
        <v>552610.31937705202</v>
      </c>
      <c r="T84" s="182">
        <f t="shared" si="30"/>
        <v>11772905.736095451</v>
      </c>
      <c r="U84" s="195">
        <f t="shared" si="22"/>
        <v>452666.56964966294</v>
      </c>
      <c r="V84" s="182">
        <f t="shared" si="22"/>
        <v>1435351.5591381136</v>
      </c>
      <c r="W84" s="195">
        <f t="shared" si="22"/>
        <v>538687.33273767703</v>
      </c>
      <c r="Y84" s="182">
        <f t="shared" si="31"/>
        <v>11754539.80675495</v>
      </c>
      <c r="Z84" s="195">
        <f t="shared" si="23"/>
        <v>442178.8823591629</v>
      </c>
      <c r="AA84" s="182">
        <f t="shared" si="23"/>
        <v>1421517.9602331135</v>
      </c>
      <c r="AB84" s="195">
        <f t="shared" si="23"/>
        <v>529027.71798267704</v>
      </c>
      <c r="AD84" s="182">
        <f t="shared" si="32"/>
        <v>10783121.07138769</v>
      </c>
      <c r="AE84" s="184">
        <f t="shared" si="24"/>
        <v>-309928.34608999931</v>
      </c>
      <c r="AF84" s="184">
        <f t="shared" si="24"/>
        <v>-1687866.0910358143</v>
      </c>
      <c r="AG84" s="184">
        <f t="shared" si="24"/>
        <v>-2462137.6781325862</v>
      </c>
      <c r="AI84" s="182">
        <f t="shared" si="27"/>
        <v>11081463.612824153</v>
      </c>
      <c r="AJ84" s="183">
        <f t="shared" si="25"/>
        <v>-11585.804653535248</v>
      </c>
      <c r="AK84" s="195">
        <f t="shared" si="25"/>
        <v>301084.18520727917</v>
      </c>
      <c r="AL84" s="184">
        <f t="shared" si="25"/>
        <v>-473187.40188949264</v>
      </c>
    </row>
    <row r="85" spans="2:38" x14ac:dyDescent="0.3">
      <c r="B85" s="222"/>
      <c r="C85" s="180"/>
      <c r="D85" s="179" t="s">
        <v>831</v>
      </c>
      <c r="E85" s="182">
        <f>E72*$C$83</f>
        <v>2808026.5037281811</v>
      </c>
      <c r="F85" s="195">
        <f t="shared" ref="F85:H85" si="44">F72*$C$83</f>
        <v>111692.83617969185</v>
      </c>
      <c r="G85" s="183">
        <f t="shared" si="44"/>
        <v>339428.05505927379</v>
      </c>
      <c r="H85" s="184">
        <f t="shared" si="44"/>
        <v>129156.38013437721</v>
      </c>
      <c r="I85" s="8" t="s">
        <v>835</v>
      </c>
      <c r="J85" s="170">
        <f t="shared" si="41"/>
        <v>148654.18878500507</v>
      </c>
      <c r="K85" s="170">
        <f t="shared" si="41"/>
        <v>6034.2196847230289</v>
      </c>
      <c r="L85" s="170">
        <f t="shared" si="41"/>
        <v>13777.334442554</v>
      </c>
      <c r="M85" s="170">
        <f t="shared" si="41"/>
        <v>5311.6465425017723</v>
      </c>
      <c r="N85" s="8"/>
      <c r="O85" s="194">
        <f t="shared" si="43"/>
        <v>12334764.525419202</v>
      </c>
      <c r="P85" s="196">
        <f t="shared" si="40"/>
        <v>490509.68385639542</v>
      </c>
      <c r="Q85" s="194">
        <f t="shared" si="40"/>
        <v>1495190.8070714835</v>
      </c>
      <c r="R85" s="196">
        <f t="shared" si="40"/>
        <v>568868.53683102026</v>
      </c>
      <c r="S85" s="8"/>
      <c r="T85" s="194">
        <f t="shared" si="30"/>
        <v>12312468.373987138</v>
      </c>
      <c r="U85" s="196">
        <f t="shared" si="22"/>
        <v>475790.31113058294</v>
      </c>
      <c r="V85" s="194">
        <f t="shared" si="22"/>
        <v>1477253.5550633585</v>
      </c>
      <c r="W85" s="196">
        <f t="shared" si="22"/>
        <v>554945.55019164528</v>
      </c>
      <c r="X85" s="8"/>
      <c r="Y85" s="194">
        <f t="shared" si="31"/>
        <v>12294102.44464664</v>
      </c>
      <c r="Z85" s="196">
        <f t="shared" si="23"/>
        <v>465302.6238400829</v>
      </c>
      <c r="AA85" s="194">
        <f t="shared" si="23"/>
        <v>1463419.9561583584</v>
      </c>
      <c r="AB85" s="196">
        <f t="shared" si="23"/>
        <v>545285.93543664529</v>
      </c>
      <c r="AC85" s="8"/>
      <c r="AD85" s="194">
        <f t="shared" si="32"/>
        <v>11322683.709279379</v>
      </c>
      <c r="AE85" s="197">
        <f t="shared" si="24"/>
        <v>-286804.60460907931</v>
      </c>
      <c r="AF85" s="197">
        <f t="shared" si="24"/>
        <v>-1645964.0951105694</v>
      </c>
      <c r="AG85" s="197">
        <f t="shared" si="24"/>
        <v>-2445879.4606786179</v>
      </c>
      <c r="AI85" s="194">
        <f t="shared" si="27"/>
        <v>11621026.250715842</v>
      </c>
      <c r="AJ85" s="193">
        <f t="shared" si="25"/>
        <v>11537.93682738475</v>
      </c>
      <c r="AK85" s="196">
        <f t="shared" si="25"/>
        <v>342986.18113252404</v>
      </c>
      <c r="AL85" s="197">
        <f t="shared" si="25"/>
        <v>-456929.1844355244</v>
      </c>
    </row>
    <row r="86" spans="2:38" x14ac:dyDescent="0.3">
      <c r="B86" s="222"/>
      <c r="C86" s="180"/>
      <c r="D86" s="179"/>
      <c r="E86" s="182"/>
      <c r="F86" s="195"/>
      <c r="G86" s="183"/>
      <c r="H86" s="184"/>
      <c r="I86" s="145" t="s">
        <v>976</v>
      </c>
      <c r="J86" s="208">
        <f>J69*$D$87</f>
        <v>873857.13131647557</v>
      </c>
      <c r="K86" s="208">
        <f t="shared" ref="K86:M89" si="45">K69*$D$87</f>
        <v>35084.772921944474</v>
      </c>
      <c r="L86" s="208">
        <f t="shared" si="45"/>
        <v>71654.447906188492</v>
      </c>
      <c r="M86" s="208">
        <f t="shared" si="45"/>
        <v>27292.794453186158</v>
      </c>
      <c r="N86" s="207"/>
      <c r="O86" s="182">
        <f>E$88-J86</f>
        <v>3221132.006155937</v>
      </c>
      <c r="P86" s="195">
        <f t="shared" ref="P86:R89" si="46">F$88-K86</f>
        <v>127798.64369896881</v>
      </c>
      <c r="Q86" s="195">
        <f t="shared" si="46"/>
        <v>423338.81393649336</v>
      </c>
      <c r="R86" s="195">
        <f t="shared" si="46"/>
        <v>161057.98250113623</v>
      </c>
      <c r="S86" s="207"/>
      <c r="T86" s="182">
        <f t="shared" si="30"/>
        <v>3198835.8547238745</v>
      </c>
      <c r="U86" s="195">
        <f t="shared" si="22"/>
        <v>113079.27097315631</v>
      </c>
      <c r="V86" s="195">
        <f t="shared" si="22"/>
        <v>405401.56192836835</v>
      </c>
      <c r="W86" s="195">
        <f t="shared" si="22"/>
        <v>147134.99586176121</v>
      </c>
      <c r="X86" s="207"/>
      <c r="Y86" s="182">
        <f t="shared" si="31"/>
        <v>3180469.9253833746</v>
      </c>
      <c r="Z86" s="195">
        <f t="shared" si="23"/>
        <v>102591.58368265632</v>
      </c>
      <c r="AA86" s="195">
        <f t="shared" si="23"/>
        <v>391567.96302336839</v>
      </c>
      <c r="AB86" s="195">
        <f t="shared" si="23"/>
        <v>137475.38110676123</v>
      </c>
      <c r="AC86" s="207"/>
      <c r="AD86" s="182">
        <f t="shared" si="32"/>
        <v>2209051.1900161137</v>
      </c>
      <c r="AE86" s="184">
        <f t="shared" si="24"/>
        <v>-649515.64476650592</v>
      </c>
      <c r="AF86" s="184">
        <f t="shared" si="24"/>
        <v>-2717816.0882455595</v>
      </c>
      <c r="AG86" s="184">
        <f t="shared" si="24"/>
        <v>-2853690.0150085022</v>
      </c>
      <c r="AI86" s="182">
        <f t="shared" si="27"/>
        <v>2507393.7314525777</v>
      </c>
      <c r="AJ86" s="184">
        <f t="shared" si="25"/>
        <v>-351173.10333004186</v>
      </c>
      <c r="AK86" s="184">
        <f t="shared" si="25"/>
        <v>-728865.81200246606</v>
      </c>
      <c r="AL86" s="184">
        <f t="shared" si="25"/>
        <v>-864739.7387654084</v>
      </c>
    </row>
    <row r="87" spans="2:38" x14ac:dyDescent="0.3">
      <c r="B87" s="222" t="s">
        <v>893</v>
      </c>
      <c r="C87" s="180">
        <v>3.0200000000000002E-4</v>
      </c>
      <c r="D87" s="180">
        <v>3.4459999999999998E-3</v>
      </c>
      <c r="I87" s="221" t="s">
        <v>833</v>
      </c>
      <c r="J87" s="101">
        <f>J70*$D$87</f>
        <v>500565.83799598995</v>
      </c>
      <c r="K87" s="101">
        <f t="shared" si="45"/>
        <v>20733.609458055533</v>
      </c>
      <c r="L87" s="101">
        <f t="shared" si="45"/>
        <v>40895.901218207975</v>
      </c>
      <c r="M87" s="101">
        <f t="shared" si="45"/>
        <v>15709.410308809407</v>
      </c>
      <c r="O87" s="182">
        <f>E$88-J87</f>
        <v>3594423.2994764224</v>
      </c>
      <c r="P87" s="195">
        <f t="shared" si="46"/>
        <v>142149.80716285776</v>
      </c>
      <c r="Q87" s="195">
        <f t="shared" si="46"/>
        <v>454097.36062447389</v>
      </c>
      <c r="R87" s="195">
        <f t="shared" si="46"/>
        <v>172641.36664551299</v>
      </c>
      <c r="T87" s="182">
        <f t="shared" si="30"/>
        <v>3572127.1480443599</v>
      </c>
      <c r="U87" s="195">
        <f t="shared" si="22"/>
        <v>127430.43443704526</v>
      </c>
      <c r="V87" s="195">
        <f t="shared" si="22"/>
        <v>436160.10861634888</v>
      </c>
      <c r="W87" s="195">
        <f t="shared" si="22"/>
        <v>158718.38000613797</v>
      </c>
      <c r="Y87" s="182">
        <f t="shared" si="31"/>
        <v>3553761.21870386</v>
      </c>
      <c r="Z87" s="195">
        <f t="shared" si="23"/>
        <v>116942.74714654527</v>
      </c>
      <c r="AA87" s="195">
        <f t="shared" si="23"/>
        <v>422326.50971134892</v>
      </c>
      <c r="AB87" s="195">
        <f t="shared" si="23"/>
        <v>149058.76525113799</v>
      </c>
      <c r="AD87" s="182">
        <f t="shared" si="32"/>
        <v>2582342.4833365991</v>
      </c>
      <c r="AE87" s="184">
        <f t="shared" si="24"/>
        <v>-635164.481302617</v>
      </c>
      <c r="AF87" s="184">
        <f t="shared" si="24"/>
        <v>-2687057.5415575788</v>
      </c>
      <c r="AG87" s="184">
        <f t="shared" si="24"/>
        <v>-2842106.6308641252</v>
      </c>
      <c r="AI87" s="182">
        <f t="shared" si="27"/>
        <v>2880685.0247730631</v>
      </c>
      <c r="AJ87" s="184">
        <f t="shared" si="25"/>
        <v>-336821.93986615294</v>
      </c>
      <c r="AK87" s="184">
        <f t="shared" si="25"/>
        <v>-698107.26531448553</v>
      </c>
      <c r="AL87" s="184">
        <f t="shared" si="25"/>
        <v>-853156.35462103167</v>
      </c>
    </row>
    <row r="88" spans="2:38" x14ac:dyDescent="0.3">
      <c r="B88" s="222"/>
      <c r="C88" s="180"/>
      <c r="D88" s="179" t="s">
        <v>830</v>
      </c>
      <c r="E88" s="182">
        <f>E72*$D$87</f>
        <v>4094989.1374724125</v>
      </c>
      <c r="F88" s="195">
        <f t="shared" ref="F88:H88" si="47">F72*$D$87</f>
        <v>162883.41662091328</v>
      </c>
      <c r="G88" s="183">
        <f t="shared" si="47"/>
        <v>494993.26184268185</v>
      </c>
      <c r="H88" s="184">
        <f t="shared" si="47"/>
        <v>188350.77695432238</v>
      </c>
      <c r="I88" s="221" t="s">
        <v>834</v>
      </c>
      <c r="J88" s="101">
        <f>J71*$D$87</f>
        <v>225758.7039245968</v>
      </c>
      <c r="K88" s="101">
        <f t="shared" si="45"/>
        <v>9564.8104880348274</v>
      </c>
      <c r="L88" s="101">
        <f t="shared" si="45"/>
        <v>18264.72845763302</v>
      </c>
      <c r="M88" s="101">
        <f t="shared" si="45"/>
        <v>7075.6545770428993</v>
      </c>
      <c r="O88" s="182">
        <f t="shared" ref="O88:O89" si="48">E$88-J88</f>
        <v>3869230.4335478158</v>
      </c>
      <c r="P88" s="195">
        <f t="shared" si="46"/>
        <v>153318.60613287846</v>
      </c>
      <c r="Q88" s="195">
        <f t="shared" si="46"/>
        <v>476728.53338504885</v>
      </c>
      <c r="R88" s="195">
        <f t="shared" si="46"/>
        <v>181275.12237727948</v>
      </c>
      <c r="T88" s="182">
        <f t="shared" si="30"/>
        <v>3846934.2821157533</v>
      </c>
      <c r="U88" s="195">
        <f t="shared" si="22"/>
        <v>138599.23340706597</v>
      </c>
      <c r="V88" s="195">
        <f t="shared" si="22"/>
        <v>458791.28137692384</v>
      </c>
      <c r="W88" s="195">
        <f t="shared" si="22"/>
        <v>167352.13573790446</v>
      </c>
      <c r="Y88" s="182">
        <f t="shared" si="31"/>
        <v>3828568.3527752534</v>
      </c>
      <c r="Z88" s="195">
        <f t="shared" si="23"/>
        <v>128111.54611656597</v>
      </c>
      <c r="AA88" s="195">
        <f t="shared" si="23"/>
        <v>444957.68247192388</v>
      </c>
      <c r="AB88" s="195">
        <f t="shared" si="23"/>
        <v>157692.52098290448</v>
      </c>
      <c r="AD88" s="182">
        <f t="shared" si="32"/>
        <v>2857149.6174079925</v>
      </c>
      <c r="AE88" s="184">
        <f t="shared" si="24"/>
        <v>-623995.68233259628</v>
      </c>
      <c r="AF88" s="184">
        <f t="shared" si="24"/>
        <v>-2664426.3687970042</v>
      </c>
      <c r="AG88" s="184">
        <f t="shared" si="24"/>
        <v>-2833472.8751323586</v>
      </c>
      <c r="AI88" s="182">
        <f t="shared" si="27"/>
        <v>3155492.1588444565</v>
      </c>
      <c r="AJ88" s="184">
        <f t="shared" si="25"/>
        <v>-325653.14089613222</v>
      </c>
      <c r="AK88" s="184">
        <f t="shared" si="25"/>
        <v>-675476.09255391057</v>
      </c>
      <c r="AL88" s="184">
        <f t="shared" si="25"/>
        <v>-844522.59888926521</v>
      </c>
    </row>
    <row r="89" spans="2:38" x14ac:dyDescent="0.3">
      <c r="B89" s="222"/>
      <c r="C89" s="180"/>
      <c r="D89" s="179" t="s">
        <v>831</v>
      </c>
      <c r="E89" s="195">
        <f>E72*$C$87</f>
        <v>358876.00682433799</v>
      </c>
      <c r="F89" s="183">
        <f t="shared" ref="F89:H89" si="49">F72*$C$87</f>
        <v>14274.750963295361</v>
      </c>
      <c r="G89" s="184">
        <f t="shared" si="49"/>
        <v>43380.140765087039</v>
      </c>
      <c r="H89" s="184">
        <f t="shared" si="49"/>
        <v>16506.655438248803</v>
      </c>
      <c r="I89" s="8" t="s">
        <v>835</v>
      </c>
      <c r="J89" s="170">
        <f>J72*$D$87</f>
        <v>48763.668210673721</v>
      </c>
      <c r="K89" s="170">
        <f t="shared" si="45"/>
        <v>1979.4308456502195</v>
      </c>
      <c r="L89" s="170">
        <f t="shared" si="45"/>
        <v>4519.4378380810167</v>
      </c>
      <c r="M89" s="170">
        <f t="shared" si="45"/>
        <v>1742.4020928568402</v>
      </c>
      <c r="N89" s="8"/>
      <c r="O89" s="194">
        <f t="shared" si="48"/>
        <v>4046225.4692617389</v>
      </c>
      <c r="P89" s="196">
        <f t="shared" si="46"/>
        <v>160903.98577526305</v>
      </c>
      <c r="Q89" s="196">
        <f t="shared" si="46"/>
        <v>490473.82400460081</v>
      </c>
      <c r="R89" s="196">
        <f t="shared" si="46"/>
        <v>186608.37486146553</v>
      </c>
      <c r="S89" s="8"/>
      <c r="T89" s="194">
        <f t="shared" si="30"/>
        <v>4023929.3178296764</v>
      </c>
      <c r="U89" s="196">
        <f t="shared" si="22"/>
        <v>146184.61304945056</v>
      </c>
      <c r="V89" s="196">
        <f t="shared" si="22"/>
        <v>472536.5719964758</v>
      </c>
      <c r="W89" s="196">
        <f t="shared" si="22"/>
        <v>172685.38822209052</v>
      </c>
      <c r="X89" s="8"/>
      <c r="Y89" s="194">
        <f t="shared" si="31"/>
        <v>4005563.3884891765</v>
      </c>
      <c r="Z89" s="196">
        <f t="shared" si="23"/>
        <v>135696.92575895056</v>
      </c>
      <c r="AA89" s="196">
        <f t="shared" si="23"/>
        <v>458702.97309147584</v>
      </c>
      <c r="AB89" s="196">
        <f t="shared" si="23"/>
        <v>163025.77346709053</v>
      </c>
      <c r="AC89" s="8"/>
      <c r="AD89" s="194">
        <f t="shared" si="32"/>
        <v>3034144.6531219156</v>
      </c>
      <c r="AE89" s="197">
        <f t="shared" si="24"/>
        <v>-616410.30269021168</v>
      </c>
      <c r="AF89" s="197">
        <f t="shared" si="24"/>
        <v>-2650681.0781774521</v>
      </c>
      <c r="AG89" s="197">
        <f t="shared" si="24"/>
        <v>-2828139.622648173</v>
      </c>
      <c r="AI89" s="194">
        <f t="shared" si="27"/>
        <v>3332487.1945583797</v>
      </c>
      <c r="AJ89" s="197">
        <f t="shared" si="25"/>
        <v>-318067.76125374762</v>
      </c>
      <c r="AK89" s="197">
        <f t="shared" si="25"/>
        <v>-661730.80193435866</v>
      </c>
      <c r="AL89" s="197">
        <f t="shared" si="25"/>
        <v>-839189.34640507912</v>
      </c>
    </row>
    <row r="90" spans="2:38" x14ac:dyDescent="0.3">
      <c r="B90" s="222"/>
      <c r="C90" s="180"/>
      <c r="D90" s="179"/>
      <c r="E90" s="195"/>
      <c r="F90" s="183"/>
      <c r="G90" s="184"/>
      <c r="H90" s="184"/>
      <c r="I90" s="145" t="s">
        <v>976</v>
      </c>
      <c r="J90" s="208">
        <f>J69*$D$91</f>
        <v>132625.4438997437</v>
      </c>
      <c r="K90" s="208">
        <f t="shared" ref="K90:M93" si="50">K69*$D$91</f>
        <v>5324.8218915197222</v>
      </c>
      <c r="L90" s="208">
        <f t="shared" si="50"/>
        <v>10875.007618960124</v>
      </c>
      <c r="M90" s="208">
        <f t="shared" si="50"/>
        <v>4142.2320078399189</v>
      </c>
      <c r="N90" s="207"/>
      <c r="O90" s="195">
        <f>E$92-J90</f>
        <v>488871.74672651046</v>
      </c>
      <c r="P90" s="183">
        <f t="shared" ref="P90:R93" si="51">F$92-K90</f>
        <v>19396.021664120919</v>
      </c>
      <c r="Q90" s="183">
        <f t="shared" si="51"/>
        <v>64250.203043756832</v>
      </c>
      <c r="R90" s="183">
        <f t="shared" si="51"/>
        <v>24443.797112041284</v>
      </c>
      <c r="S90" s="207"/>
      <c r="T90" s="195">
        <f t="shared" si="30"/>
        <v>466575.59529444796</v>
      </c>
      <c r="U90" s="184">
        <f t="shared" si="30"/>
        <v>4676.648938308419</v>
      </c>
      <c r="V90" s="183">
        <f t="shared" si="30"/>
        <v>46312.951035631835</v>
      </c>
      <c r="W90" s="183">
        <f t="shared" si="30"/>
        <v>10520.810472666284</v>
      </c>
      <c r="X90" s="207"/>
      <c r="Y90" s="195">
        <f t="shared" si="31"/>
        <v>448209.66595394799</v>
      </c>
      <c r="Z90" s="184">
        <f t="shared" si="31"/>
        <v>-5811.0383521915792</v>
      </c>
      <c r="AA90" s="183">
        <f t="shared" si="31"/>
        <v>32479.352130631833</v>
      </c>
      <c r="AB90" s="184">
        <f t="shared" si="31"/>
        <v>861.1957176662836</v>
      </c>
      <c r="AC90" s="207"/>
      <c r="AD90" s="184">
        <f t="shared" si="32"/>
        <v>-523209.06941331271</v>
      </c>
      <c r="AE90" s="184">
        <f t="shared" si="32"/>
        <v>-757918.26680135378</v>
      </c>
      <c r="AF90" s="184">
        <f t="shared" si="32"/>
        <v>-3076904.6991382958</v>
      </c>
      <c r="AG90" s="184">
        <f t="shared" si="32"/>
        <v>-2990304.2003975972</v>
      </c>
      <c r="AI90" s="184">
        <f t="shared" si="27"/>
        <v>-224866.52797684865</v>
      </c>
      <c r="AJ90" s="184">
        <f t="shared" si="27"/>
        <v>-459575.72536488977</v>
      </c>
      <c r="AK90" s="184">
        <f t="shared" si="27"/>
        <v>-1087954.4228952026</v>
      </c>
      <c r="AL90" s="184">
        <f t="shared" si="27"/>
        <v>-1001353.9241545034</v>
      </c>
    </row>
    <row r="91" spans="2:38" x14ac:dyDescent="0.3">
      <c r="B91" s="222" t="s">
        <v>894</v>
      </c>
      <c r="C91" s="180">
        <v>2.1999999999999999E-5</v>
      </c>
      <c r="D91" s="180">
        <v>5.2300000000000003E-4</v>
      </c>
      <c r="I91" s="221" t="s">
        <v>833</v>
      </c>
      <c r="J91" s="101">
        <f>J70*$D$91</f>
        <v>75970.96148343086</v>
      </c>
      <c r="K91" s="101">
        <f t="shared" si="50"/>
        <v>3146.7433971453988</v>
      </c>
      <c r="L91" s="101">
        <f t="shared" si="50"/>
        <v>6206.7778111209436</v>
      </c>
      <c r="M91" s="101">
        <f t="shared" si="50"/>
        <v>2384.2198466359027</v>
      </c>
      <c r="O91" s="195">
        <f>E$92-J91</f>
        <v>545526.22914282337</v>
      </c>
      <c r="P91" s="183">
        <f t="shared" si="51"/>
        <v>21574.100158495243</v>
      </c>
      <c r="Q91" s="183">
        <f t="shared" si="51"/>
        <v>68918.432851596008</v>
      </c>
      <c r="R91" s="183">
        <f t="shared" si="51"/>
        <v>26201.809273245297</v>
      </c>
      <c r="T91" s="195">
        <f t="shared" si="30"/>
        <v>523230.07771076087</v>
      </c>
      <c r="U91" s="184">
        <f t="shared" si="30"/>
        <v>6854.7274326827428</v>
      </c>
      <c r="V91" s="183">
        <f t="shared" si="30"/>
        <v>50981.180843471011</v>
      </c>
      <c r="W91" s="183">
        <f t="shared" si="30"/>
        <v>12278.822633870297</v>
      </c>
      <c r="Y91" s="195">
        <f t="shared" si="31"/>
        <v>504864.1483702609</v>
      </c>
      <c r="Z91" s="184">
        <f t="shared" si="31"/>
        <v>-3632.9598578172554</v>
      </c>
      <c r="AA91" s="183">
        <f t="shared" si="31"/>
        <v>37147.581938471005</v>
      </c>
      <c r="AB91" s="184">
        <f t="shared" si="31"/>
        <v>2619.2078788702966</v>
      </c>
      <c r="AD91" s="184">
        <f t="shared" si="32"/>
        <v>-466554.5869969998</v>
      </c>
      <c r="AE91" s="184">
        <f t="shared" si="32"/>
        <v>-755740.18830697949</v>
      </c>
      <c r="AF91" s="184">
        <f t="shared" si="32"/>
        <v>-3072236.469330457</v>
      </c>
      <c r="AG91" s="184">
        <f t="shared" si="32"/>
        <v>-2988546.188236393</v>
      </c>
      <c r="AI91" s="184">
        <f t="shared" si="27"/>
        <v>-168212.04556053574</v>
      </c>
      <c r="AJ91" s="184">
        <f t="shared" si="27"/>
        <v>-457397.64687051543</v>
      </c>
      <c r="AK91" s="184">
        <f t="shared" si="27"/>
        <v>-1083286.1930873634</v>
      </c>
      <c r="AL91" s="184">
        <f t="shared" si="27"/>
        <v>-999595.91199329938</v>
      </c>
    </row>
    <row r="92" spans="2:38" x14ac:dyDescent="0.3">
      <c r="B92" s="222"/>
      <c r="C92" s="180"/>
      <c r="D92" s="179" t="s">
        <v>830</v>
      </c>
      <c r="E92" s="182">
        <f>E72*$D$91</f>
        <v>621497.19062625419</v>
      </c>
      <c r="F92" s="183">
        <f t="shared" ref="F92:H92" si="52">F72*$D$91</f>
        <v>24720.84355564064</v>
      </c>
      <c r="G92" s="184">
        <f t="shared" si="52"/>
        <v>75125.210662716956</v>
      </c>
      <c r="H92" s="184">
        <f t="shared" si="52"/>
        <v>28586.029119881201</v>
      </c>
      <c r="I92" s="221" t="s">
        <v>834</v>
      </c>
      <c r="J92" s="101">
        <f>J71*$D$91</f>
        <v>34263.436492328539</v>
      </c>
      <c r="K92" s="101">
        <f t="shared" si="50"/>
        <v>1451.6528976326799</v>
      </c>
      <c r="L92" s="101">
        <f t="shared" si="50"/>
        <v>2772.0409121712337</v>
      </c>
      <c r="M92" s="101">
        <f t="shared" si="50"/>
        <v>1073.8732860689022</v>
      </c>
      <c r="O92" s="195">
        <f t="shared" ref="O92:O93" si="53">E$92-J92</f>
        <v>587233.75413392566</v>
      </c>
      <c r="P92" s="183">
        <f t="shared" si="51"/>
        <v>23269.190658007959</v>
      </c>
      <c r="Q92" s="183">
        <f t="shared" si="51"/>
        <v>72353.169750545727</v>
      </c>
      <c r="R92" s="183">
        <f t="shared" si="51"/>
        <v>27512.1558338123</v>
      </c>
      <c r="T92" s="195">
        <f t="shared" si="30"/>
        <v>564937.60270186316</v>
      </c>
      <c r="U92" s="184">
        <f t="shared" si="30"/>
        <v>8549.8179321954594</v>
      </c>
      <c r="V92" s="183">
        <f t="shared" si="30"/>
        <v>54415.91774242073</v>
      </c>
      <c r="W92" s="183">
        <f t="shared" si="30"/>
        <v>13589.1691944373</v>
      </c>
      <c r="Y92" s="195">
        <f t="shared" si="31"/>
        <v>546571.67336136312</v>
      </c>
      <c r="Z92" s="184">
        <f t="shared" si="31"/>
        <v>-1937.8693583045388</v>
      </c>
      <c r="AA92" s="183">
        <f t="shared" si="31"/>
        <v>40582.318837420724</v>
      </c>
      <c r="AB92" s="184">
        <f t="shared" si="31"/>
        <v>3929.5544394372992</v>
      </c>
      <c r="AD92" s="184">
        <f t="shared" si="32"/>
        <v>-424847.06200589752</v>
      </c>
      <c r="AE92" s="184">
        <f t="shared" si="32"/>
        <v>-754045.09780746675</v>
      </c>
      <c r="AF92" s="184">
        <f t="shared" si="32"/>
        <v>-3068801.7324315072</v>
      </c>
      <c r="AG92" s="184">
        <f t="shared" si="32"/>
        <v>-2987235.8416758259</v>
      </c>
      <c r="AI92" s="184">
        <f t="shared" si="27"/>
        <v>-126504.52056943346</v>
      </c>
      <c r="AJ92" s="184">
        <f t="shared" si="27"/>
        <v>-455702.55637100269</v>
      </c>
      <c r="AK92" s="184">
        <f t="shared" si="27"/>
        <v>-1079851.4561884138</v>
      </c>
      <c r="AL92" s="184">
        <f t="shared" si="27"/>
        <v>-998285.56543273234</v>
      </c>
    </row>
    <row r="93" spans="2:38" x14ac:dyDescent="0.3">
      <c r="B93" s="222"/>
      <c r="C93" s="180"/>
      <c r="D93" s="179" t="s">
        <v>831</v>
      </c>
      <c r="E93" s="183">
        <f>E72*$C$91</f>
        <v>26143.285265349121</v>
      </c>
      <c r="F93" s="184">
        <f t="shared" ref="F93:H93" si="54">F72*$C$91</f>
        <v>1039.88252050496</v>
      </c>
      <c r="G93" s="184">
        <f t="shared" si="54"/>
        <v>3160.14270474144</v>
      </c>
      <c r="H93" s="184">
        <f t="shared" si="54"/>
        <v>1202.4715882168</v>
      </c>
      <c r="I93" s="8" t="s">
        <v>835</v>
      </c>
      <c r="J93" s="170">
        <f>J72*$D$91</f>
        <v>7400.8701317998712</v>
      </c>
      <c r="K93" s="170">
        <f t="shared" si="50"/>
        <v>300.41855260448779</v>
      </c>
      <c r="L93" s="170">
        <f t="shared" si="50"/>
        <v>685.91584135704352</v>
      </c>
      <c r="M93" s="170">
        <f t="shared" si="50"/>
        <v>264.44465889846998</v>
      </c>
      <c r="N93" s="8"/>
      <c r="O93" s="196">
        <f t="shared" si="53"/>
        <v>614096.32049445435</v>
      </c>
      <c r="P93" s="193">
        <f t="shared" si="51"/>
        <v>24420.425003036151</v>
      </c>
      <c r="Q93" s="193">
        <f t="shared" si="51"/>
        <v>74439.294821359916</v>
      </c>
      <c r="R93" s="193">
        <f t="shared" si="51"/>
        <v>28321.584460982733</v>
      </c>
      <c r="S93" s="8"/>
      <c r="T93" s="196">
        <f t="shared" si="30"/>
        <v>591800.16906239185</v>
      </c>
      <c r="U93" s="197">
        <f t="shared" si="30"/>
        <v>9701.0522772236509</v>
      </c>
      <c r="V93" s="193">
        <f t="shared" si="30"/>
        <v>56502.042813234919</v>
      </c>
      <c r="W93" s="193">
        <f t="shared" si="30"/>
        <v>14398.597821607733</v>
      </c>
      <c r="X93" s="8"/>
      <c r="Y93" s="196">
        <f t="shared" si="31"/>
        <v>573434.23972189182</v>
      </c>
      <c r="Z93" s="197">
        <f t="shared" si="31"/>
        <v>-786.63501327634731</v>
      </c>
      <c r="AA93" s="193">
        <f t="shared" si="31"/>
        <v>42668.443908234913</v>
      </c>
      <c r="AB93" s="197">
        <f t="shared" si="31"/>
        <v>4738.9830666077323</v>
      </c>
      <c r="AC93" s="8"/>
      <c r="AD93" s="197">
        <f t="shared" si="32"/>
        <v>-397984.49564536882</v>
      </c>
      <c r="AE93" s="197">
        <f t="shared" si="32"/>
        <v>-752893.86346243857</v>
      </c>
      <c r="AF93" s="197">
        <f t="shared" si="32"/>
        <v>-3066715.6073606927</v>
      </c>
      <c r="AG93" s="197">
        <f t="shared" si="32"/>
        <v>-2986426.4130486557</v>
      </c>
      <c r="AI93" s="197">
        <f t="shared" si="27"/>
        <v>-99641.954208904761</v>
      </c>
      <c r="AJ93" s="197">
        <f t="shared" si="27"/>
        <v>-454551.32202597451</v>
      </c>
      <c r="AK93" s="197">
        <f t="shared" si="27"/>
        <v>-1077765.3311175995</v>
      </c>
      <c r="AL93" s="197">
        <f t="shared" si="27"/>
        <v>-997476.13680556195</v>
      </c>
    </row>
    <row r="94" spans="2:38" x14ac:dyDescent="0.3">
      <c r="B94" s="222"/>
      <c r="C94" s="180"/>
      <c r="D94" s="179"/>
      <c r="E94" s="183"/>
      <c r="F94" s="184"/>
      <c r="G94" s="184"/>
      <c r="H94" s="184"/>
      <c r="I94" s="145" t="s">
        <v>976</v>
      </c>
      <c r="J94" s="208">
        <f>J69*$D$95</f>
        <v>760.75780439623531</v>
      </c>
      <c r="K94" s="208">
        <f t="shared" ref="K94:M97" si="55">K69*$D$95</f>
        <v>30.543911423631293</v>
      </c>
      <c r="L94" s="208">
        <f t="shared" si="55"/>
        <v>62.380540835335317</v>
      </c>
      <c r="M94" s="208">
        <f t="shared" si="55"/>
        <v>23.760413046882899</v>
      </c>
      <c r="N94" s="207"/>
      <c r="O94" s="184">
        <f>E$96-J94</f>
        <v>2804.235640878645</v>
      </c>
      <c r="P94" s="184">
        <f t="shared" ref="P94:R97" si="56">F$96-K94</f>
        <v>111.2582504634087</v>
      </c>
      <c r="Q94" s="184">
        <f t="shared" si="56"/>
        <v>368.54800981122469</v>
      </c>
      <c r="R94" s="184">
        <f t="shared" si="56"/>
        <v>140.21298534631711</v>
      </c>
      <c r="S94" s="207"/>
      <c r="T94" s="184">
        <f t="shared" si="30"/>
        <v>-19491.915791183856</v>
      </c>
      <c r="U94" s="184">
        <f t="shared" si="30"/>
        <v>-14608.114475349092</v>
      </c>
      <c r="V94" s="184">
        <f t="shared" si="30"/>
        <v>-17568.703998313777</v>
      </c>
      <c r="W94" s="184">
        <f t="shared" si="30"/>
        <v>-13782.773654028682</v>
      </c>
      <c r="X94" s="207"/>
      <c r="Y94" s="184">
        <f t="shared" si="31"/>
        <v>-37857.845131683855</v>
      </c>
      <c r="Z94" s="184">
        <f t="shared" si="31"/>
        <v>-25095.80176584909</v>
      </c>
      <c r="AA94" s="184">
        <f t="shared" si="31"/>
        <v>-31402.302903313775</v>
      </c>
      <c r="AB94" s="184">
        <f t="shared" si="31"/>
        <v>-23442.388409028685</v>
      </c>
      <c r="AC94" s="207"/>
      <c r="AD94" s="184">
        <f t="shared" si="32"/>
        <v>-1009276.5804989445</v>
      </c>
      <c r="AE94" s="184">
        <f t="shared" si="32"/>
        <v>-777203.03021501133</v>
      </c>
      <c r="AF94" s="184">
        <f t="shared" si="32"/>
        <v>-3140786.3541722414</v>
      </c>
      <c r="AG94" s="184">
        <f t="shared" si="32"/>
        <v>-3014607.7845242922</v>
      </c>
      <c r="AI94" s="184">
        <f t="shared" si="27"/>
        <v>-710934.03906248044</v>
      </c>
      <c r="AJ94" s="184">
        <f t="shared" si="27"/>
        <v>-478860.48877854727</v>
      </c>
      <c r="AK94" s="184">
        <f t="shared" si="27"/>
        <v>-1151836.0779291482</v>
      </c>
      <c r="AL94" s="184">
        <f t="shared" si="27"/>
        <v>-1025657.5082811983</v>
      </c>
    </row>
    <row r="95" spans="2:38" x14ac:dyDescent="0.3">
      <c r="B95" s="222" t="s">
        <v>825</v>
      </c>
      <c r="C95" s="180">
        <v>3.0000000000000001E-6</v>
      </c>
      <c r="D95" s="180">
        <v>3.0000000000000001E-6</v>
      </c>
      <c r="I95" s="221" t="s">
        <v>833</v>
      </c>
      <c r="J95" s="101">
        <f>J70*$D$95</f>
        <v>435.7798937864103</v>
      </c>
      <c r="K95" s="101">
        <f t="shared" si="55"/>
        <v>18.050153329705921</v>
      </c>
      <c r="L95" s="101">
        <f t="shared" si="55"/>
        <v>35.602931994957608</v>
      </c>
      <c r="M95" s="101">
        <f t="shared" si="55"/>
        <v>13.676213269422004</v>
      </c>
      <c r="O95" s="184">
        <f>E$96-J95</f>
        <v>3129.2135514884699</v>
      </c>
      <c r="P95" s="184">
        <f t="shared" si="56"/>
        <v>123.75200855733408</v>
      </c>
      <c r="Q95" s="184">
        <f t="shared" si="56"/>
        <v>395.32561865160238</v>
      </c>
      <c r="R95" s="184">
        <f t="shared" si="56"/>
        <v>150.29718512377801</v>
      </c>
      <c r="T95" s="184">
        <f t="shared" si="30"/>
        <v>-19166.937880574031</v>
      </c>
      <c r="U95" s="184">
        <f t="shared" si="30"/>
        <v>-14595.620717255166</v>
      </c>
      <c r="V95" s="184">
        <f t="shared" si="30"/>
        <v>-17541.926389473399</v>
      </c>
      <c r="W95" s="184">
        <f t="shared" si="30"/>
        <v>-13772.689454251222</v>
      </c>
      <c r="Y95" s="184">
        <f t="shared" si="31"/>
        <v>-37532.867221074026</v>
      </c>
      <c r="Z95" s="184">
        <f t="shared" si="31"/>
        <v>-25083.308007755164</v>
      </c>
      <c r="AA95" s="184">
        <f t="shared" si="31"/>
        <v>-31375.525294473398</v>
      </c>
      <c r="AB95" s="184">
        <f t="shared" si="31"/>
        <v>-23432.304209251222</v>
      </c>
      <c r="AD95" s="184">
        <f t="shared" si="32"/>
        <v>-1008951.6025883347</v>
      </c>
      <c r="AE95" s="184">
        <f t="shared" si="32"/>
        <v>-777190.53645691741</v>
      </c>
      <c r="AF95" s="184">
        <f t="shared" si="32"/>
        <v>-3140759.5765634011</v>
      </c>
      <c r="AG95" s="184">
        <f t="shared" si="32"/>
        <v>-3014597.7003245144</v>
      </c>
      <c r="AI95" s="184">
        <f t="shared" si="27"/>
        <v>-710609.06115187064</v>
      </c>
      <c r="AJ95" s="184">
        <f t="shared" si="27"/>
        <v>-478847.99502045335</v>
      </c>
      <c r="AK95" s="184">
        <f t="shared" si="27"/>
        <v>-1151809.3003203077</v>
      </c>
      <c r="AL95" s="184">
        <f t="shared" si="27"/>
        <v>-1025647.4240814209</v>
      </c>
    </row>
    <row r="96" spans="2:38" x14ac:dyDescent="0.3">
      <c r="D96" s="179" t="s">
        <v>830</v>
      </c>
      <c r="E96" s="184">
        <f>E72*$D$95</f>
        <v>3564.9934452748803</v>
      </c>
      <c r="F96" s="184">
        <f t="shared" ref="F96:H96" si="57">F72*$D$95</f>
        <v>141.80216188704</v>
      </c>
      <c r="G96" s="184">
        <f t="shared" si="57"/>
        <v>430.92855064655998</v>
      </c>
      <c r="H96" s="184">
        <f t="shared" si="57"/>
        <v>163.9733983932</v>
      </c>
      <c r="I96" s="221" t="s">
        <v>834</v>
      </c>
      <c r="J96" s="101">
        <f>J71*$D$95</f>
        <v>196.53978867492467</v>
      </c>
      <c r="K96" s="101">
        <f t="shared" si="55"/>
        <v>8.3268808659618347</v>
      </c>
      <c r="L96" s="101">
        <f t="shared" si="55"/>
        <v>15.900808291613195</v>
      </c>
      <c r="M96" s="101">
        <f t="shared" si="55"/>
        <v>6.1598850061313692</v>
      </c>
      <c r="O96" s="184">
        <f t="shared" ref="O96:O97" si="58">E$96-J96</f>
        <v>3368.4536565999556</v>
      </c>
      <c r="P96" s="184">
        <f t="shared" si="56"/>
        <v>133.47528102107816</v>
      </c>
      <c r="Q96" s="184">
        <f t="shared" si="56"/>
        <v>415.02774235494678</v>
      </c>
      <c r="R96" s="184">
        <f t="shared" si="56"/>
        <v>157.81351338706864</v>
      </c>
      <c r="T96" s="184">
        <f t="shared" si="30"/>
        <v>-18927.697775462544</v>
      </c>
      <c r="U96" s="184">
        <f t="shared" si="30"/>
        <v>-14585.897444791422</v>
      </c>
      <c r="V96" s="184">
        <f t="shared" si="30"/>
        <v>-17522.224265770055</v>
      </c>
      <c r="W96" s="184">
        <f t="shared" si="30"/>
        <v>-13765.173125987931</v>
      </c>
      <c r="Y96" s="184">
        <f t="shared" si="31"/>
        <v>-37293.627115962539</v>
      </c>
      <c r="Z96" s="184">
        <f t="shared" si="31"/>
        <v>-25073.584735291421</v>
      </c>
      <c r="AA96" s="184">
        <f t="shared" si="31"/>
        <v>-31355.823170770054</v>
      </c>
      <c r="AB96" s="184">
        <f t="shared" si="31"/>
        <v>-23424.787880987933</v>
      </c>
      <c r="AD96" s="184">
        <f t="shared" si="32"/>
        <v>-1008712.3624832232</v>
      </c>
      <c r="AE96" s="184">
        <f t="shared" si="32"/>
        <v>-777180.81318445364</v>
      </c>
      <c r="AF96" s="184">
        <f t="shared" si="32"/>
        <v>-3140739.8744396977</v>
      </c>
      <c r="AG96" s="184">
        <f t="shared" si="32"/>
        <v>-3014590.1839962513</v>
      </c>
      <c r="AI96" s="184">
        <f t="shared" si="27"/>
        <v>-710369.82104675914</v>
      </c>
      <c r="AJ96" s="184">
        <f t="shared" si="27"/>
        <v>-478838.27174798958</v>
      </c>
      <c r="AK96" s="184">
        <f t="shared" si="27"/>
        <v>-1151789.5981966045</v>
      </c>
      <c r="AL96" s="184">
        <f t="shared" si="27"/>
        <v>-1025639.9077531575</v>
      </c>
    </row>
    <row r="97" spans="4:38" x14ac:dyDescent="0.3">
      <c r="D97" s="179" t="s">
        <v>831</v>
      </c>
      <c r="E97" s="184">
        <f>E72*$C$95</f>
        <v>3564.9934452748803</v>
      </c>
      <c r="F97" s="184">
        <f t="shared" ref="F97:H97" si="59">F72*$C$95</f>
        <v>141.80216188704</v>
      </c>
      <c r="G97" s="184">
        <f t="shared" si="59"/>
        <v>430.92855064655998</v>
      </c>
      <c r="H97" s="184">
        <f t="shared" si="59"/>
        <v>163.9733983932</v>
      </c>
      <c r="I97" s="8" t="s">
        <v>835</v>
      </c>
      <c r="J97" s="170">
        <f>J72*$D$95</f>
        <v>42.452409933842475</v>
      </c>
      <c r="K97" s="170">
        <f t="shared" si="55"/>
        <v>1.7232421755515552</v>
      </c>
      <c r="L97" s="170">
        <f t="shared" si="55"/>
        <v>3.9345076942086625</v>
      </c>
      <c r="M97" s="170">
        <f t="shared" si="55"/>
        <v>1.5168909688248755</v>
      </c>
      <c r="N97" s="8"/>
      <c r="O97" s="197">
        <f t="shared" si="58"/>
        <v>3522.541035341038</v>
      </c>
      <c r="P97" s="197">
        <f t="shared" si="56"/>
        <v>140.07891971148845</v>
      </c>
      <c r="Q97" s="197">
        <f t="shared" si="56"/>
        <v>426.99404295235132</v>
      </c>
      <c r="R97" s="197">
        <f t="shared" si="56"/>
        <v>162.45650742437513</v>
      </c>
      <c r="S97" s="8"/>
      <c r="T97" s="197">
        <f t="shared" si="30"/>
        <v>-18773.610396721462</v>
      </c>
      <c r="U97" s="197">
        <f t="shared" si="30"/>
        <v>-14579.293806101012</v>
      </c>
      <c r="V97" s="197">
        <f t="shared" si="30"/>
        <v>-17510.257965172648</v>
      </c>
      <c r="W97" s="197">
        <f t="shared" si="30"/>
        <v>-13760.530131950625</v>
      </c>
      <c r="X97" s="8"/>
      <c r="Y97" s="197">
        <f t="shared" si="31"/>
        <v>-37139.539737221457</v>
      </c>
      <c r="Z97" s="197">
        <f t="shared" si="31"/>
        <v>-25066.981096601008</v>
      </c>
      <c r="AA97" s="197">
        <f t="shared" si="31"/>
        <v>-31343.856870172647</v>
      </c>
      <c r="AB97" s="197">
        <f t="shared" si="31"/>
        <v>-23420.144886950624</v>
      </c>
      <c r="AC97" s="8"/>
      <c r="AD97" s="197">
        <f t="shared" si="32"/>
        <v>-1008558.2751044822</v>
      </c>
      <c r="AE97" s="197">
        <f t="shared" si="32"/>
        <v>-777174.20954576321</v>
      </c>
      <c r="AF97" s="197">
        <f t="shared" si="32"/>
        <v>-3140727.9081391003</v>
      </c>
      <c r="AG97" s="197">
        <f t="shared" si="32"/>
        <v>-3014585.541002214</v>
      </c>
      <c r="AI97" s="197">
        <f t="shared" si="27"/>
        <v>-710215.73366801813</v>
      </c>
      <c r="AJ97" s="197">
        <f t="shared" si="27"/>
        <v>-478831.66810929921</v>
      </c>
      <c r="AK97" s="197">
        <f t="shared" si="27"/>
        <v>-1151777.6318960071</v>
      </c>
      <c r="AL97" s="197">
        <f t="shared" si="27"/>
        <v>-1025635.2647591203</v>
      </c>
    </row>
    <row r="99" spans="4:38" x14ac:dyDescent="0.3">
      <c r="O99" s="221" t="s">
        <v>838</v>
      </c>
    </row>
    <row r="100" spans="4:38" x14ac:dyDescent="0.3">
      <c r="O100" s="221" t="s">
        <v>839</v>
      </c>
    </row>
    <row r="101" spans="4:38" x14ac:dyDescent="0.3">
      <c r="J101" s="86" t="s">
        <v>840</v>
      </c>
    </row>
    <row r="102" spans="4:38" x14ac:dyDescent="0.3">
      <c r="I102" s="221" t="s">
        <v>984</v>
      </c>
      <c r="J102" s="86" t="s">
        <v>985</v>
      </c>
    </row>
    <row r="103" spans="4:38" x14ac:dyDescent="0.3">
      <c r="I103" s="186" t="s">
        <v>983</v>
      </c>
      <c r="J103" s="175">
        <v>253585934.7987451</v>
      </c>
      <c r="K103" s="175">
        <v>10181303.807877097</v>
      </c>
      <c r="L103" s="175">
        <v>20793513.611778438</v>
      </c>
      <c r="M103" s="175">
        <v>7920137.6822942998</v>
      </c>
    </row>
    <row r="104" spans="4:38" x14ac:dyDescent="0.3">
      <c r="I104" s="186" t="s">
        <v>833</v>
      </c>
      <c r="J104" s="175">
        <v>145259964.5954701</v>
      </c>
      <c r="K104" s="175">
        <v>6016717.77656864</v>
      </c>
      <c r="L104" s="175">
        <v>11867643.998319203</v>
      </c>
      <c r="M104" s="175">
        <v>4558737.7564740013</v>
      </c>
    </row>
    <row r="105" spans="4:38" x14ac:dyDescent="0.3">
      <c r="I105" s="186" t="s">
        <v>834</v>
      </c>
      <c r="J105" s="175">
        <v>65513262.891641557</v>
      </c>
      <c r="K105" s="175">
        <v>2775626.9553206116</v>
      </c>
      <c r="L105" s="175">
        <v>5300269.4305377314</v>
      </c>
      <c r="M105" s="175">
        <v>2053295.0020437897</v>
      </c>
      <c r="O105" s="86" t="s">
        <v>840</v>
      </c>
      <c r="T105" s="86" t="s">
        <v>912</v>
      </c>
      <c r="AD105" s="240" t="s">
        <v>1016</v>
      </c>
      <c r="AE105" s="240"/>
      <c r="AF105" s="240"/>
      <c r="AG105" s="240"/>
      <c r="AH105" s="240"/>
      <c r="AI105" s="240" t="s">
        <v>1017</v>
      </c>
    </row>
    <row r="106" spans="4:38" x14ac:dyDescent="0.3">
      <c r="I106" s="186" t="s">
        <v>835</v>
      </c>
      <c r="J106" s="175">
        <v>14150803.311280824</v>
      </c>
      <c r="K106" s="175">
        <v>574414.05851718504</v>
      </c>
      <c r="L106" s="175">
        <v>1311502.5647362208</v>
      </c>
      <c r="M106" s="175">
        <v>505630.32294162514</v>
      </c>
      <c r="O106" s="256" t="s">
        <v>1014</v>
      </c>
      <c r="P106" s="256"/>
      <c r="Q106" s="256"/>
      <c r="R106" s="256"/>
      <c r="T106" s="221" t="s">
        <v>944</v>
      </c>
      <c r="Y106" s="221" t="s">
        <v>943</v>
      </c>
      <c r="AD106" s="221" t="s">
        <v>947</v>
      </c>
      <c r="AI106" s="221" t="s">
        <v>947</v>
      </c>
    </row>
    <row r="107" spans="4:38" x14ac:dyDescent="0.3">
      <c r="H107" s="176" t="s">
        <v>821</v>
      </c>
      <c r="I107" s="238" t="s">
        <v>837</v>
      </c>
      <c r="J107" s="188" t="s">
        <v>826</v>
      </c>
      <c r="K107" s="188" t="s">
        <v>827</v>
      </c>
      <c r="L107" s="188" t="s">
        <v>828</v>
      </c>
      <c r="M107" s="188" t="s">
        <v>829</v>
      </c>
      <c r="N107" s="8"/>
      <c r="O107" s="188" t="s">
        <v>826</v>
      </c>
      <c r="P107" s="188" t="s">
        <v>827</v>
      </c>
      <c r="Q107" s="188" t="s">
        <v>828</v>
      </c>
      <c r="R107" s="188" t="s">
        <v>829</v>
      </c>
      <c r="S107" s="8"/>
      <c r="T107" s="170">
        <v>22296.151432062499</v>
      </c>
      <c r="U107" s="170">
        <v>14719.3727258125</v>
      </c>
      <c r="V107" s="170">
        <v>17937.252008125</v>
      </c>
      <c r="W107" s="170">
        <v>13922.986639375</v>
      </c>
      <c r="X107" s="8"/>
      <c r="Y107" s="170">
        <v>40662.080772562498</v>
      </c>
      <c r="Z107" s="170">
        <v>25207.060016312498</v>
      </c>
      <c r="AA107" s="170">
        <v>31770.850913124999</v>
      </c>
      <c r="AB107" s="170">
        <v>23582.601394375</v>
      </c>
      <c r="AC107" s="8"/>
      <c r="AD107" s="170">
        <v>1012080.8161398232</v>
      </c>
      <c r="AE107" s="170">
        <v>777314.28846547473</v>
      </c>
      <c r="AF107" s="170">
        <v>3141154.9021820528</v>
      </c>
      <c r="AG107" s="170">
        <v>3014747.9975096383</v>
      </c>
      <c r="AI107" s="170">
        <v>713738.27470335911</v>
      </c>
      <c r="AJ107" s="170">
        <v>478971.74702901067</v>
      </c>
      <c r="AK107" s="170">
        <v>1152204.6259389594</v>
      </c>
      <c r="AL107" s="170">
        <v>1025797.7212665447</v>
      </c>
    </row>
    <row r="108" spans="4:38" x14ac:dyDescent="0.3">
      <c r="H108" s="225"/>
      <c r="I108" s="145" t="s">
        <v>983</v>
      </c>
      <c r="J108" s="101">
        <f>$C$75*J103</f>
        <v>253585934.7987451</v>
      </c>
      <c r="K108" s="101">
        <f t="shared" ref="K108:M108" si="60">$C$75*K103</f>
        <v>10181303.807877097</v>
      </c>
      <c r="L108" s="101">
        <f t="shared" si="60"/>
        <v>20793513.611778438</v>
      </c>
      <c r="M108" s="101">
        <f t="shared" si="60"/>
        <v>7920137.6822942998</v>
      </c>
      <c r="N108" s="207"/>
      <c r="O108" s="182">
        <f>E$77-J108</f>
        <v>934745213.62621498</v>
      </c>
      <c r="P108" s="182">
        <f t="shared" ref="P108:R111" si="61">F$77-K108</f>
        <v>37086083.487802908</v>
      </c>
      <c r="Q108" s="182">
        <f t="shared" si="61"/>
        <v>122849336.60374156</v>
      </c>
      <c r="R108" s="182">
        <f t="shared" si="61"/>
        <v>46737661.782105699</v>
      </c>
      <c r="S108" s="207"/>
      <c r="T108" s="182">
        <f>O108-T$107</f>
        <v>934722917.47478294</v>
      </c>
      <c r="U108" s="182">
        <f t="shared" ref="U108:W123" si="62">P108-U$107</f>
        <v>37071364.115077093</v>
      </c>
      <c r="V108" s="182">
        <f t="shared" si="62"/>
        <v>122831399.35173343</v>
      </c>
      <c r="W108" s="182">
        <f t="shared" si="62"/>
        <v>46723738.795466326</v>
      </c>
      <c r="X108" s="207"/>
      <c r="Y108" s="182">
        <f>O108-Y$107</f>
        <v>934704551.54544246</v>
      </c>
      <c r="Z108" s="182">
        <f t="shared" ref="Z108:AB123" si="63">P108-Z$107</f>
        <v>37060876.427786596</v>
      </c>
      <c r="AA108" s="182">
        <f t="shared" si="63"/>
        <v>122817565.75282843</v>
      </c>
      <c r="AB108" s="182">
        <f t="shared" si="63"/>
        <v>46714079.180711322</v>
      </c>
      <c r="AC108" s="207"/>
      <c r="AD108" s="182">
        <f>O108-AD$107</f>
        <v>933733132.81007516</v>
      </c>
      <c r="AE108" s="182">
        <f t="shared" ref="AE108:AG123" si="64">P108-AE$107</f>
        <v>36308769.19933743</v>
      </c>
      <c r="AF108" s="182">
        <f t="shared" si="64"/>
        <v>119708181.7015595</v>
      </c>
      <c r="AG108" s="182">
        <f t="shared" si="64"/>
        <v>43722913.784596063</v>
      </c>
      <c r="AI108" s="182">
        <f>O108-AI$73</f>
        <v>934031475.3515116</v>
      </c>
      <c r="AJ108" s="182">
        <f t="shared" ref="AJ108:AL131" si="65">P108-AJ$73</f>
        <v>36607111.740773894</v>
      </c>
      <c r="AK108" s="182">
        <f t="shared" si="65"/>
        <v>121697131.9778026</v>
      </c>
      <c r="AL108" s="182">
        <f t="shared" si="65"/>
        <v>45711864.060839154</v>
      </c>
    </row>
    <row r="109" spans="4:38" x14ac:dyDescent="0.3">
      <c r="H109" s="222" t="s">
        <v>824</v>
      </c>
      <c r="I109" s="221" t="s">
        <v>833</v>
      </c>
      <c r="J109" s="101">
        <f>$C$75*J70</f>
        <v>145259964.5954701</v>
      </c>
      <c r="K109" s="101">
        <f t="shared" ref="K109:M111" si="66">$C$75*K70</f>
        <v>6016717.77656864</v>
      </c>
      <c r="L109" s="101">
        <f t="shared" si="66"/>
        <v>11867643.998319203</v>
      </c>
      <c r="M109" s="101">
        <f t="shared" si="66"/>
        <v>4558737.7564740013</v>
      </c>
      <c r="O109" s="182">
        <f>E$77-J109</f>
        <v>1043071183.8294901</v>
      </c>
      <c r="P109" s="182">
        <f t="shared" si="61"/>
        <v>41250669.519111365</v>
      </c>
      <c r="Q109" s="182">
        <f t="shared" si="61"/>
        <v>131775206.21720079</v>
      </c>
      <c r="R109" s="182">
        <f t="shared" si="61"/>
        <v>50099061.707925998</v>
      </c>
      <c r="T109" s="182">
        <f>O109-T$107</f>
        <v>1043048887.678058</v>
      </c>
      <c r="U109" s="182">
        <f t="shared" si="62"/>
        <v>41235950.14638555</v>
      </c>
      <c r="V109" s="182">
        <f t="shared" si="62"/>
        <v>131757268.96519266</v>
      </c>
      <c r="W109" s="182">
        <f t="shared" si="62"/>
        <v>50085138.721286625</v>
      </c>
      <c r="Y109" s="182">
        <f>O109-Y$107</f>
        <v>1043030521.7487175</v>
      </c>
      <c r="Z109" s="182">
        <f t="shared" si="63"/>
        <v>41225462.459095053</v>
      </c>
      <c r="AA109" s="182">
        <f t="shared" si="63"/>
        <v>131743435.36628766</v>
      </c>
      <c r="AB109" s="182">
        <f t="shared" si="63"/>
        <v>50075479.10653162</v>
      </c>
      <c r="AD109" s="182">
        <f>O109-AD$107</f>
        <v>1042059103.0133502</v>
      </c>
      <c r="AE109" s="182">
        <f t="shared" si="64"/>
        <v>40473355.230645888</v>
      </c>
      <c r="AF109" s="182">
        <f t="shared" si="64"/>
        <v>128634051.31501873</v>
      </c>
      <c r="AG109" s="182">
        <f t="shared" si="64"/>
        <v>47084313.710416362</v>
      </c>
      <c r="AI109" s="182">
        <f t="shared" ref="AI109:AI131" si="67">O109-AI$73</f>
        <v>1042357445.5547867</v>
      </c>
      <c r="AJ109" s="182">
        <f t="shared" si="65"/>
        <v>40771697.772082351</v>
      </c>
      <c r="AK109" s="182">
        <f t="shared" si="65"/>
        <v>130623001.59126183</v>
      </c>
      <c r="AL109" s="182">
        <f t="shared" si="65"/>
        <v>49073263.986659452</v>
      </c>
    </row>
    <row r="110" spans="4:38" x14ac:dyDescent="0.3">
      <c r="H110" s="222" t="s">
        <v>899</v>
      </c>
      <c r="I110" s="221" t="s">
        <v>834</v>
      </c>
      <c r="J110" s="101">
        <f>$C$75*J71</f>
        <v>65513262.891641557</v>
      </c>
      <c r="K110" s="101">
        <f t="shared" si="66"/>
        <v>2775626.9553206116</v>
      </c>
      <c r="L110" s="101">
        <f t="shared" si="66"/>
        <v>5300269.4305377314</v>
      </c>
      <c r="M110" s="101">
        <f t="shared" si="66"/>
        <v>2053295.0020437897</v>
      </c>
      <c r="O110" s="182">
        <f t="shared" ref="O110:O111" si="68">E$77-J110</f>
        <v>1122817885.5333185</v>
      </c>
      <c r="P110" s="182">
        <f t="shared" si="61"/>
        <v>44491760.34035939</v>
      </c>
      <c r="Q110" s="182">
        <f t="shared" si="61"/>
        <v>138342580.78498226</v>
      </c>
      <c r="R110" s="182">
        <f t="shared" si="61"/>
        <v>52604504.46235621</v>
      </c>
      <c r="T110" s="182">
        <f t="shared" ref="T110:W131" si="69">O110-T$107</f>
        <v>1122795589.3818865</v>
      </c>
      <c r="U110" s="182">
        <f t="shared" si="62"/>
        <v>44477040.967633575</v>
      </c>
      <c r="V110" s="182">
        <f t="shared" si="62"/>
        <v>138324643.53297415</v>
      </c>
      <c r="W110" s="182">
        <f t="shared" si="62"/>
        <v>52590581.475716837</v>
      </c>
      <c r="Y110" s="182">
        <f t="shared" ref="Y110:AB131" si="70">O110-Y$107</f>
        <v>1122777223.4525459</v>
      </c>
      <c r="Z110" s="182">
        <f t="shared" si="63"/>
        <v>44466553.280343078</v>
      </c>
      <c r="AA110" s="182">
        <f t="shared" si="63"/>
        <v>138310809.93406913</v>
      </c>
      <c r="AB110" s="182">
        <f t="shared" si="63"/>
        <v>52580921.860961832</v>
      </c>
      <c r="AD110" s="182">
        <f t="shared" ref="AD110:AG131" si="71">O110-AD$107</f>
        <v>1121805804.7171786</v>
      </c>
      <c r="AE110" s="182">
        <f t="shared" si="64"/>
        <v>43714446.051893912</v>
      </c>
      <c r="AF110" s="182">
        <f t="shared" si="64"/>
        <v>135201425.88280022</v>
      </c>
      <c r="AG110" s="182">
        <f t="shared" si="64"/>
        <v>49589756.464846574</v>
      </c>
      <c r="AI110" s="182">
        <f t="shared" si="67"/>
        <v>1122104147.2586153</v>
      </c>
      <c r="AJ110" s="182">
        <f t="shared" si="65"/>
        <v>44012788.593330376</v>
      </c>
      <c r="AK110" s="182">
        <f t="shared" si="65"/>
        <v>137190376.15904331</v>
      </c>
      <c r="AL110" s="182">
        <f t="shared" si="65"/>
        <v>51578706.741089664</v>
      </c>
    </row>
    <row r="111" spans="4:38" x14ac:dyDescent="0.3">
      <c r="H111" s="111"/>
      <c r="I111" s="8" t="s">
        <v>835</v>
      </c>
      <c r="J111" s="170">
        <f>$C$75*J72</f>
        <v>14150803.311280824</v>
      </c>
      <c r="K111" s="170">
        <f t="shared" si="66"/>
        <v>574414.05851718504</v>
      </c>
      <c r="L111" s="170">
        <f t="shared" si="66"/>
        <v>1311502.5647362208</v>
      </c>
      <c r="M111" s="170">
        <f t="shared" si="66"/>
        <v>505630.32294162514</v>
      </c>
      <c r="N111" s="8"/>
      <c r="O111" s="194">
        <f t="shared" si="68"/>
        <v>1174180345.1136794</v>
      </c>
      <c r="P111" s="194">
        <f t="shared" si="61"/>
        <v>46692973.237162814</v>
      </c>
      <c r="Q111" s="194">
        <f t="shared" si="61"/>
        <v>142331347.65078378</v>
      </c>
      <c r="R111" s="194">
        <f t="shared" si="61"/>
        <v>54152169.141458377</v>
      </c>
      <c r="S111" s="8"/>
      <c r="T111" s="194">
        <f t="shared" si="69"/>
        <v>1174158048.9622474</v>
      </c>
      <c r="U111" s="194">
        <f t="shared" si="62"/>
        <v>46678253.864436999</v>
      </c>
      <c r="V111" s="194">
        <f t="shared" si="62"/>
        <v>142313410.39877567</v>
      </c>
      <c r="W111" s="194">
        <f t="shared" si="62"/>
        <v>54138246.154819004</v>
      </c>
      <c r="X111" s="8"/>
      <c r="Y111" s="194">
        <f t="shared" si="70"/>
        <v>1174139683.0329068</v>
      </c>
      <c r="Z111" s="194">
        <f t="shared" si="63"/>
        <v>46667766.177146502</v>
      </c>
      <c r="AA111" s="194">
        <f t="shared" si="63"/>
        <v>142299576.79987064</v>
      </c>
      <c r="AB111" s="194">
        <f t="shared" si="63"/>
        <v>54128586.540064</v>
      </c>
      <c r="AC111" s="8"/>
      <c r="AD111" s="194">
        <f t="shared" si="71"/>
        <v>1173168264.2975395</v>
      </c>
      <c r="AE111" s="194">
        <f t="shared" si="64"/>
        <v>45915658.948697336</v>
      </c>
      <c r="AF111" s="194">
        <f t="shared" si="64"/>
        <v>139190192.74860173</v>
      </c>
      <c r="AG111" s="194">
        <f t="shared" si="64"/>
        <v>51137421.143948741</v>
      </c>
      <c r="AI111" s="194">
        <f t="shared" si="67"/>
        <v>1173466606.8389761</v>
      </c>
      <c r="AJ111" s="194">
        <f t="shared" si="65"/>
        <v>46214001.4901338</v>
      </c>
      <c r="AK111" s="194">
        <f t="shared" si="65"/>
        <v>141179143.02484483</v>
      </c>
      <c r="AL111" s="194">
        <f t="shared" si="65"/>
        <v>53126371.420191832</v>
      </c>
    </row>
    <row r="112" spans="4:38" x14ac:dyDescent="0.3">
      <c r="H112" s="237"/>
      <c r="I112" s="145" t="s">
        <v>983</v>
      </c>
      <c r="J112" s="101">
        <f>$C$79*J103</f>
        <v>2470434.1768093747</v>
      </c>
      <c r="K112" s="101">
        <f t="shared" ref="K112:M115" si="72">$C$79*K103</f>
        <v>99186.261696338683</v>
      </c>
      <c r="L112" s="101">
        <f t="shared" si="72"/>
        <v>202570.40960594555</v>
      </c>
      <c r="M112" s="101">
        <f t="shared" si="72"/>
        <v>77157.98130091108</v>
      </c>
      <c r="N112" s="207"/>
      <c r="O112" s="182">
        <f>E$81-J112</f>
        <v>9106287.8711465877</v>
      </c>
      <c r="P112" s="195">
        <f t="shared" ref="P112:R115" si="73">F$81-K112</f>
        <v>361292.62533817592</v>
      </c>
      <c r="Q112" s="182">
        <f t="shared" si="73"/>
        <v>1196798.2371936503</v>
      </c>
      <c r="R112" s="195">
        <f t="shared" si="73"/>
        <v>455318.30108127382</v>
      </c>
      <c r="S112" s="207"/>
      <c r="T112" s="182">
        <f t="shared" si="69"/>
        <v>9083991.7197145261</v>
      </c>
      <c r="U112" s="195">
        <f t="shared" si="62"/>
        <v>346573.25261236343</v>
      </c>
      <c r="V112" s="182">
        <f t="shared" si="62"/>
        <v>1178860.9851855254</v>
      </c>
      <c r="W112" s="195">
        <f t="shared" si="62"/>
        <v>441395.31444189884</v>
      </c>
      <c r="X112" s="207"/>
      <c r="Y112" s="182">
        <f t="shared" si="70"/>
        <v>9065625.7903740257</v>
      </c>
      <c r="Z112" s="195">
        <f t="shared" si="63"/>
        <v>336085.5653218634</v>
      </c>
      <c r="AA112" s="182">
        <f t="shared" si="63"/>
        <v>1165027.3862805252</v>
      </c>
      <c r="AB112" s="195">
        <f t="shared" si="63"/>
        <v>431735.69968689885</v>
      </c>
      <c r="AC112" s="207"/>
      <c r="AD112" s="182">
        <f t="shared" si="71"/>
        <v>8094207.0550067648</v>
      </c>
      <c r="AE112" s="184">
        <f t="shared" si="64"/>
        <v>-416021.66312729882</v>
      </c>
      <c r="AF112" s="184">
        <f t="shared" si="64"/>
        <v>-1944356.6649884025</v>
      </c>
      <c r="AG112" s="184">
        <f t="shared" si="64"/>
        <v>-2559429.6964283646</v>
      </c>
      <c r="AI112" s="182">
        <f t="shared" si="67"/>
        <v>8392549.5964432284</v>
      </c>
      <c r="AJ112" s="184">
        <f t="shared" si="65"/>
        <v>-117679.12169083476</v>
      </c>
      <c r="AK112" s="195">
        <f t="shared" si="65"/>
        <v>44593.611254690913</v>
      </c>
      <c r="AL112" s="184">
        <f t="shared" si="65"/>
        <v>-570479.42018527084</v>
      </c>
    </row>
    <row r="113" spans="8:38" ht="28.8" x14ac:dyDescent="0.3">
      <c r="H113" s="222" t="s">
        <v>895</v>
      </c>
      <c r="I113" s="221" t="s">
        <v>833</v>
      </c>
      <c r="J113" s="101">
        <f>$C$79*J104</f>
        <v>1415122.5750890698</v>
      </c>
      <c r="K113" s="101">
        <f t="shared" si="72"/>
        <v>58614.864579331697</v>
      </c>
      <c r="L113" s="101">
        <f t="shared" si="72"/>
        <v>115614.58783162569</v>
      </c>
      <c r="M113" s="101">
        <f t="shared" si="72"/>
        <v>44411.223223569723</v>
      </c>
      <c r="O113" s="182">
        <f>E$81-J113</f>
        <v>10161599.472866893</v>
      </c>
      <c r="P113" s="195">
        <f t="shared" si="73"/>
        <v>401864.02245518292</v>
      </c>
      <c r="Q113" s="182">
        <f t="shared" si="73"/>
        <v>1283754.0589679701</v>
      </c>
      <c r="R113" s="195">
        <f t="shared" si="73"/>
        <v>488065.05915861513</v>
      </c>
      <c r="T113" s="182">
        <f t="shared" si="69"/>
        <v>10139303.321434829</v>
      </c>
      <c r="U113" s="195">
        <f t="shared" si="62"/>
        <v>387144.64972937043</v>
      </c>
      <c r="V113" s="182">
        <f t="shared" si="62"/>
        <v>1265816.8069598451</v>
      </c>
      <c r="W113" s="195">
        <f t="shared" si="62"/>
        <v>474142.07251924014</v>
      </c>
      <c r="Y113" s="182">
        <f t="shared" si="70"/>
        <v>10120937.392094331</v>
      </c>
      <c r="Z113" s="195">
        <f t="shared" si="63"/>
        <v>376656.9624388704</v>
      </c>
      <c r="AA113" s="182">
        <f t="shared" si="63"/>
        <v>1251983.208054845</v>
      </c>
      <c r="AB113" s="195">
        <f t="shared" si="63"/>
        <v>464482.4577642401</v>
      </c>
      <c r="AD113" s="182">
        <f t="shared" si="71"/>
        <v>9149518.65672707</v>
      </c>
      <c r="AE113" s="184">
        <f t="shared" si="64"/>
        <v>-375450.26601029182</v>
      </c>
      <c r="AF113" s="184">
        <f t="shared" si="64"/>
        <v>-1857400.8432140828</v>
      </c>
      <c r="AG113" s="184">
        <f t="shared" si="64"/>
        <v>-2526682.938351023</v>
      </c>
      <c r="AI113" s="182">
        <f t="shared" si="67"/>
        <v>9447861.1981635336</v>
      </c>
      <c r="AJ113" s="184">
        <f t="shared" si="65"/>
        <v>-77107.724573827756</v>
      </c>
      <c r="AK113" s="195">
        <f t="shared" si="65"/>
        <v>131549.43302901066</v>
      </c>
      <c r="AL113" s="184">
        <f t="shared" si="65"/>
        <v>-537732.66210792959</v>
      </c>
    </row>
    <row r="114" spans="8:38" x14ac:dyDescent="0.3">
      <c r="H114" s="222"/>
      <c r="I114" s="221" t="s">
        <v>834</v>
      </c>
      <c r="J114" s="101">
        <f>$C$79*J105</f>
        <v>638230.2070903721</v>
      </c>
      <c r="K114" s="101">
        <f t="shared" si="72"/>
        <v>27040.157798733399</v>
      </c>
      <c r="L114" s="101">
        <f t="shared" si="72"/>
        <v>51635.224792298584</v>
      </c>
      <c r="M114" s="101">
        <f t="shared" si="72"/>
        <v>20003.1999099106</v>
      </c>
      <c r="O114" s="182">
        <f t="shared" ref="O114:O115" si="74">E$81-J114</f>
        <v>10938491.84086559</v>
      </c>
      <c r="P114" s="195">
        <f t="shared" si="73"/>
        <v>433438.72923578124</v>
      </c>
      <c r="Q114" s="182">
        <f t="shared" si="73"/>
        <v>1347733.4220072972</v>
      </c>
      <c r="R114" s="195">
        <f t="shared" si="73"/>
        <v>512473.08247227425</v>
      </c>
      <c r="T114" s="182">
        <f t="shared" si="69"/>
        <v>10916195.689433526</v>
      </c>
      <c r="U114" s="195">
        <f t="shared" si="62"/>
        <v>418719.35650996875</v>
      </c>
      <c r="V114" s="182">
        <f t="shared" si="62"/>
        <v>1329796.1699991722</v>
      </c>
      <c r="W114" s="195">
        <f t="shared" si="62"/>
        <v>498550.09583289927</v>
      </c>
      <c r="Y114" s="182">
        <f t="shared" si="70"/>
        <v>10897829.760093028</v>
      </c>
      <c r="Z114" s="195">
        <f t="shared" si="63"/>
        <v>408231.66921946872</v>
      </c>
      <c r="AA114" s="182">
        <f t="shared" si="63"/>
        <v>1315962.5710941721</v>
      </c>
      <c r="AB114" s="195">
        <f t="shared" si="63"/>
        <v>488890.48107789923</v>
      </c>
      <c r="AD114" s="182">
        <f t="shared" si="71"/>
        <v>9926411.0247257669</v>
      </c>
      <c r="AE114" s="184">
        <f t="shared" si="64"/>
        <v>-343875.55922969349</v>
      </c>
      <c r="AF114" s="184">
        <f t="shared" si="64"/>
        <v>-1793421.4801747557</v>
      </c>
      <c r="AG114" s="184">
        <f t="shared" si="64"/>
        <v>-2502274.9150373642</v>
      </c>
      <c r="AI114" s="182">
        <f t="shared" si="67"/>
        <v>10224753.56616223</v>
      </c>
      <c r="AJ114" s="184">
        <f t="shared" si="65"/>
        <v>-45533.017793229432</v>
      </c>
      <c r="AK114" s="195">
        <f t="shared" si="65"/>
        <v>195528.79606833775</v>
      </c>
      <c r="AL114" s="184">
        <f t="shared" si="65"/>
        <v>-513324.6387942704</v>
      </c>
    </row>
    <row r="115" spans="8:38" x14ac:dyDescent="0.3">
      <c r="H115" s="111"/>
      <c r="I115" s="8" t="s">
        <v>835</v>
      </c>
      <c r="J115" s="170">
        <f>$C$79*J106</f>
        <v>137857.12585849781</v>
      </c>
      <c r="K115" s="170">
        <f t="shared" si="72"/>
        <v>5595.9417580744166</v>
      </c>
      <c r="L115" s="170">
        <f t="shared" si="72"/>
        <v>12776.657985660264</v>
      </c>
      <c r="M115" s="170">
        <f t="shared" si="72"/>
        <v>4925.8506060973123</v>
      </c>
      <c r="N115" s="8"/>
      <c r="O115" s="194">
        <f t="shared" si="74"/>
        <v>11438864.922097463</v>
      </c>
      <c r="P115" s="196">
        <f t="shared" si="73"/>
        <v>454882.94527644024</v>
      </c>
      <c r="Q115" s="194">
        <f t="shared" si="73"/>
        <v>1386591.9888139355</v>
      </c>
      <c r="R115" s="196">
        <f t="shared" si="73"/>
        <v>527550.43177608761</v>
      </c>
      <c r="S115" s="8"/>
      <c r="T115" s="194">
        <f t="shared" si="69"/>
        <v>11416568.7706654</v>
      </c>
      <c r="U115" s="196">
        <f t="shared" si="62"/>
        <v>440163.57255062775</v>
      </c>
      <c r="V115" s="194">
        <f t="shared" si="62"/>
        <v>1368654.7368058106</v>
      </c>
      <c r="W115" s="196">
        <f t="shared" si="62"/>
        <v>513627.44513671263</v>
      </c>
      <c r="X115" s="8"/>
      <c r="Y115" s="194">
        <f t="shared" si="70"/>
        <v>11398202.841324901</v>
      </c>
      <c r="Z115" s="196">
        <f t="shared" si="63"/>
        <v>429675.88526012772</v>
      </c>
      <c r="AA115" s="194">
        <f t="shared" si="63"/>
        <v>1354821.1379008105</v>
      </c>
      <c r="AB115" s="196">
        <f t="shared" si="63"/>
        <v>503967.83038171264</v>
      </c>
      <c r="AC115" s="8"/>
      <c r="AD115" s="194">
        <f t="shared" si="71"/>
        <v>10426784.10595764</v>
      </c>
      <c r="AE115" s="197">
        <f t="shared" si="64"/>
        <v>-322431.34318903449</v>
      </c>
      <c r="AF115" s="197">
        <f t="shared" si="64"/>
        <v>-1754562.9133681173</v>
      </c>
      <c r="AG115" s="197">
        <f t="shared" si="64"/>
        <v>-2487197.5657335506</v>
      </c>
      <c r="AI115" s="194">
        <f t="shared" si="67"/>
        <v>10725126.647394104</v>
      </c>
      <c r="AJ115" s="197">
        <f t="shared" si="65"/>
        <v>-24088.801752570434</v>
      </c>
      <c r="AK115" s="196">
        <f t="shared" si="65"/>
        <v>234387.36287497613</v>
      </c>
      <c r="AL115" s="197">
        <f t="shared" si="65"/>
        <v>-498247.28949045704</v>
      </c>
    </row>
    <row r="116" spans="8:38" x14ac:dyDescent="0.3">
      <c r="H116" s="237"/>
      <c r="I116" s="145" t="s">
        <v>983</v>
      </c>
      <c r="J116" s="101">
        <f>$C$83*J103</f>
        <v>599223.56392943463</v>
      </c>
      <c r="K116" s="101">
        <f t="shared" ref="K116:M119" si="75">$C$83*K103</f>
        <v>24058.420898013581</v>
      </c>
      <c r="L116" s="101">
        <f t="shared" si="75"/>
        <v>49135.072664632447</v>
      </c>
      <c r="M116" s="101">
        <f t="shared" si="75"/>
        <v>18715.285343261432</v>
      </c>
      <c r="N116" s="207"/>
      <c r="O116" s="182">
        <f>E$85-J116</f>
        <v>2208802.9397987463</v>
      </c>
      <c r="P116" s="195">
        <f t="shared" ref="P116:R119" si="76">F$85-K116</f>
        <v>87634.415281678259</v>
      </c>
      <c r="Q116" s="195">
        <f t="shared" si="76"/>
        <v>290292.98239464132</v>
      </c>
      <c r="R116" s="195">
        <f t="shared" si="76"/>
        <v>110441.09479111577</v>
      </c>
      <c r="S116" s="207"/>
      <c r="T116" s="182">
        <f t="shared" si="69"/>
        <v>2186506.7883666838</v>
      </c>
      <c r="U116" s="183">
        <f t="shared" si="62"/>
        <v>72915.042555865759</v>
      </c>
      <c r="V116" s="195">
        <f t="shared" si="62"/>
        <v>272355.73038651631</v>
      </c>
      <c r="W116" s="195">
        <f t="shared" si="62"/>
        <v>96518.108151740773</v>
      </c>
      <c r="X116" s="207"/>
      <c r="Y116" s="182">
        <f t="shared" si="70"/>
        <v>2168140.8590261838</v>
      </c>
      <c r="Z116" s="183">
        <f t="shared" si="63"/>
        <v>62427.355265365761</v>
      </c>
      <c r="AA116" s="195">
        <f t="shared" si="63"/>
        <v>258522.13148151632</v>
      </c>
      <c r="AB116" s="195">
        <f t="shared" si="63"/>
        <v>86858.493396740771</v>
      </c>
      <c r="AC116" s="207"/>
      <c r="AD116" s="182">
        <f t="shared" si="71"/>
        <v>1196722.123658923</v>
      </c>
      <c r="AE116" s="184">
        <f t="shared" si="64"/>
        <v>-689679.87318379642</v>
      </c>
      <c r="AF116" s="184">
        <f t="shared" si="64"/>
        <v>-2850861.9197874116</v>
      </c>
      <c r="AG116" s="184">
        <f t="shared" si="64"/>
        <v>-2904306.9027185226</v>
      </c>
      <c r="AI116" s="182">
        <f t="shared" si="67"/>
        <v>1495064.665095387</v>
      </c>
      <c r="AJ116" s="184">
        <f t="shared" si="65"/>
        <v>-391337.33174733241</v>
      </c>
      <c r="AK116" s="184">
        <f t="shared" si="65"/>
        <v>-861911.64354431815</v>
      </c>
      <c r="AL116" s="184">
        <f t="shared" si="65"/>
        <v>-915356.62647542893</v>
      </c>
    </row>
    <row r="117" spans="8:38" ht="28.8" x14ac:dyDescent="0.3">
      <c r="H117" s="222" t="s">
        <v>896</v>
      </c>
      <c r="I117" s="221" t="s">
        <v>833</v>
      </c>
      <c r="J117" s="101">
        <f>$C$83*J104</f>
        <v>343249.29633909586</v>
      </c>
      <c r="K117" s="101">
        <f t="shared" si="75"/>
        <v>14217.504106031696</v>
      </c>
      <c r="L117" s="101">
        <f t="shared" si="75"/>
        <v>28043.242768028278</v>
      </c>
      <c r="M117" s="101">
        <f t="shared" si="75"/>
        <v>10772.297318548066</v>
      </c>
      <c r="O117" s="182">
        <f>E$85-J117</f>
        <v>2464777.2073890851</v>
      </c>
      <c r="P117" s="195">
        <f t="shared" si="76"/>
        <v>97475.332073660145</v>
      </c>
      <c r="Q117" s="195">
        <f t="shared" si="76"/>
        <v>311384.8122912455</v>
      </c>
      <c r="R117" s="195">
        <f t="shared" si="76"/>
        <v>118384.08281582914</v>
      </c>
      <c r="T117" s="182">
        <f t="shared" si="69"/>
        <v>2442481.0559570226</v>
      </c>
      <c r="U117" s="183">
        <f t="shared" si="62"/>
        <v>82755.959347847645</v>
      </c>
      <c r="V117" s="195">
        <f t="shared" si="62"/>
        <v>293447.56028312049</v>
      </c>
      <c r="W117" s="195">
        <f t="shared" si="62"/>
        <v>104461.09617645414</v>
      </c>
      <c r="Y117" s="182">
        <f t="shared" si="70"/>
        <v>2424115.1266165227</v>
      </c>
      <c r="Z117" s="183">
        <f t="shared" si="63"/>
        <v>72268.27205734764</v>
      </c>
      <c r="AA117" s="195">
        <f t="shared" si="63"/>
        <v>279613.96137812053</v>
      </c>
      <c r="AB117" s="195">
        <f t="shared" si="63"/>
        <v>94801.48142145414</v>
      </c>
      <c r="AD117" s="182">
        <f t="shared" si="71"/>
        <v>1452696.3912492618</v>
      </c>
      <c r="AE117" s="184">
        <f t="shared" si="64"/>
        <v>-679838.95639181463</v>
      </c>
      <c r="AF117" s="184">
        <f t="shared" si="64"/>
        <v>-2829770.0898908074</v>
      </c>
      <c r="AG117" s="184">
        <f t="shared" si="64"/>
        <v>-2896363.9146938091</v>
      </c>
      <c r="AI117" s="182">
        <f t="shared" si="67"/>
        <v>1751038.9326857259</v>
      </c>
      <c r="AJ117" s="184">
        <f t="shared" si="65"/>
        <v>-381496.41495535051</v>
      </c>
      <c r="AK117" s="184">
        <f t="shared" si="65"/>
        <v>-840819.81364771398</v>
      </c>
      <c r="AL117" s="184">
        <f t="shared" si="65"/>
        <v>-907413.63845071546</v>
      </c>
    </row>
    <row r="118" spans="8:38" x14ac:dyDescent="0.3">
      <c r="H118" s="222"/>
      <c r="I118" s="221" t="s">
        <v>834</v>
      </c>
      <c r="J118" s="101">
        <f>$C$83*J105</f>
        <v>154807.840212949</v>
      </c>
      <c r="K118" s="101">
        <f t="shared" si="75"/>
        <v>6558.8064954226056</v>
      </c>
      <c r="L118" s="101">
        <f t="shared" si="75"/>
        <v>12524.536664360659</v>
      </c>
      <c r="M118" s="101">
        <f t="shared" si="75"/>
        <v>4851.9360898294753</v>
      </c>
      <c r="O118" s="182">
        <f t="shared" ref="O118:O119" si="77">E$85-J118</f>
        <v>2653218.663515232</v>
      </c>
      <c r="P118" s="195">
        <f t="shared" si="76"/>
        <v>105134.02968426925</v>
      </c>
      <c r="Q118" s="195">
        <f t="shared" si="76"/>
        <v>326903.51839491312</v>
      </c>
      <c r="R118" s="195">
        <f t="shared" si="76"/>
        <v>124304.44404454774</v>
      </c>
      <c r="T118" s="182">
        <f t="shared" si="69"/>
        <v>2630922.5120831695</v>
      </c>
      <c r="U118" s="183">
        <f t="shared" si="62"/>
        <v>90414.656958456748</v>
      </c>
      <c r="V118" s="195">
        <f t="shared" si="62"/>
        <v>308966.26638678811</v>
      </c>
      <c r="W118" s="195">
        <f t="shared" si="62"/>
        <v>110381.45740517274</v>
      </c>
      <c r="Y118" s="182">
        <f t="shared" si="70"/>
        <v>2612556.5827426696</v>
      </c>
      <c r="Z118" s="183">
        <f t="shared" si="63"/>
        <v>79926.969667956757</v>
      </c>
      <c r="AA118" s="195">
        <f t="shared" si="63"/>
        <v>295132.66748178814</v>
      </c>
      <c r="AB118" s="195">
        <f t="shared" si="63"/>
        <v>100721.84265017274</v>
      </c>
      <c r="AD118" s="182">
        <f t="shared" si="71"/>
        <v>1641137.8473754087</v>
      </c>
      <c r="AE118" s="184">
        <f t="shared" si="64"/>
        <v>-672180.25878120551</v>
      </c>
      <c r="AF118" s="184">
        <f t="shared" si="64"/>
        <v>-2814251.3837871398</v>
      </c>
      <c r="AG118" s="184">
        <f t="shared" si="64"/>
        <v>-2890443.5534650907</v>
      </c>
      <c r="AI118" s="182">
        <f t="shared" si="67"/>
        <v>1939480.3888118728</v>
      </c>
      <c r="AJ118" s="184">
        <f t="shared" si="65"/>
        <v>-373837.71734474145</v>
      </c>
      <c r="AK118" s="184">
        <f t="shared" si="65"/>
        <v>-825301.10754404636</v>
      </c>
      <c r="AL118" s="184">
        <f t="shared" si="65"/>
        <v>-901493.27722199692</v>
      </c>
    </row>
    <row r="119" spans="8:38" x14ac:dyDescent="0.3">
      <c r="H119" s="111"/>
      <c r="I119" s="8" t="s">
        <v>835</v>
      </c>
      <c r="J119" s="170">
        <f>$C$83*J106</f>
        <v>33438.34822455659</v>
      </c>
      <c r="K119" s="170">
        <f t="shared" si="75"/>
        <v>1357.3404202761083</v>
      </c>
      <c r="L119" s="170">
        <f t="shared" si="75"/>
        <v>3099.0805604716898</v>
      </c>
      <c r="M119" s="170">
        <f t="shared" si="75"/>
        <v>1194.8044531110602</v>
      </c>
      <c r="N119" s="8"/>
      <c r="O119" s="194">
        <f t="shared" si="77"/>
        <v>2774588.1555036246</v>
      </c>
      <c r="P119" s="196">
        <f t="shared" si="76"/>
        <v>110335.49575941575</v>
      </c>
      <c r="Q119" s="196">
        <f t="shared" si="76"/>
        <v>336328.9744988021</v>
      </c>
      <c r="R119" s="196">
        <f t="shared" si="76"/>
        <v>127961.57568126614</v>
      </c>
      <c r="S119" s="8"/>
      <c r="T119" s="194">
        <f t="shared" si="69"/>
        <v>2752292.0040715621</v>
      </c>
      <c r="U119" s="193">
        <f t="shared" si="62"/>
        <v>95616.123033603246</v>
      </c>
      <c r="V119" s="196">
        <f t="shared" si="62"/>
        <v>318391.72249067709</v>
      </c>
      <c r="W119" s="196">
        <f t="shared" si="62"/>
        <v>114038.58904189114</v>
      </c>
      <c r="X119" s="8"/>
      <c r="Y119" s="194">
        <f t="shared" si="70"/>
        <v>2733926.0747310622</v>
      </c>
      <c r="Z119" s="193">
        <f t="shared" si="63"/>
        <v>85128.43574310324</v>
      </c>
      <c r="AA119" s="196">
        <f t="shared" si="63"/>
        <v>304558.12358567712</v>
      </c>
      <c r="AB119" s="196">
        <f t="shared" si="63"/>
        <v>104378.97428689114</v>
      </c>
      <c r="AC119" s="8"/>
      <c r="AD119" s="194">
        <f t="shared" si="71"/>
        <v>1762507.3393638013</v>
      </c>
      <c r="AE119" s="197">
        <f t="shared" si="64"/>
        <v>-666978.79270605894</v>
      </c>
      <c r="AF119" s="197">
        <f t="shared" si="64"/>
        <v>-2804825.927683251</v>
      </c>
      <c r="AG119" s="197">
        <f t="shared" si="64"/>
        <v>-2886786.4218283724</v>
      </c>
      <c r="AI119" s="194">
        <f t="shared" si="67"/>
        <v>2060849.8808002654</v>
      </c>
      <c r="AJ119" s="197">
        <f t="shared" si="65"/>
        <v>-368636.25126959494</v>
      </c>
      <c r="AK119" s="197">
        <f t="shared" si="65"/>
        <v>-815875.65144015732</v>
      </c>
      <c r="AL119" s="197">
        <f t="shared" si="65"/>
        <v>-897836.14558527851</v>
      </c>
    </row>
    <row r="120" spans="8:38" x14ac:dyDescent="0.3">
      <c r="H120" s="237"/>
      <c r="I120" s="145" t="s">
        <v>983</v>
      </c>
      <c r="J120" s="101">
        <f>$C$87*J103</f>
        <v>76582.952309221029</v>
      </c>
      <c r="K120" s="101">
        <f t="shared" ref="K120:M123" si="78">$C$87*K103</f>
        <v>3074.7537499788837</v>
      </c>
      <c r="L120" s="101">
        <f t="shared" si="78"/>
        <v>6279.6411107570884</v>
      </c>
      <c r="M120" s="101">
        <f t="shared" si="78"/>
        <v>2391.8815800528787</v>
      </c>
      <c r="N120" s="207"/>
      <c r="O120" s="195">
        <f>E$89-J120</f>
        <v>282293.05451511696</v>
      </c>
      <c r="P120" s="183">
        <f t="shared" ref="P120:R123" si="79">F$89-K120</f>
        <v>11199.997213316477</v>
      </c>
      <c r="Q120" s="183">
        <f t="shared" si="79"/>
        <v>37100.499654329949</v>
      </c>
      <c r="R120" s="183">
        <f t="shared" si="79"/>
        <v>14114.773858195924</v>
      </c>
      <c r="S120" s="207"/>
      <c r="T120" s="195">
        <f t="shared" si="69"/>
        <v>259996.90308305447</v>
      </c>
      <c r="U120" s="184">
        <f t="shared" si="62"/>
        <v>-3519.3755124960226</v>
      </c>
      <c r="V120" s="183">
        <f t="shared" si="62"/>
        <v>19163.247646204949</v>
      </c>
      <c r="W120" s="184">
        <f t="shared" si="62"/>
        <v>191.78721882092395</v>
      </c>
      <c r="X120" s="207"/>
      <c r="Y120" s="195">
        <f t="shared" si="70"/>
        <v>241630.97374255446</v>
      </c>
      <c r="Z120" s="184">
        <f t="shared" si="63"/>
        <v>-14007.062802996021</v>
      </c>
      <c r="AA120" s="183">
        <f t="shared" si="63"/>
        <v>5329.6487412049501</v>
      </c>
      <c r="AB120" s="184">
        <f t="shared" si="63"/>
        <v>-9467.8275361790766</v>
      </c>
      <c r="AC120" s="207"/>
      <c r="AD120" s="184">
        <f t="shared" si="71"/>
        <v>-729787.76162470621</v>
      </c>
      <c r="AE120" s="184">
        <f t="shared" si="64"/>
        <v>-766114.29125215823</v>
      </c>
      <c r="AF120" s="184">
        <f t="shared" si="64"/>
        <v>-3104054.402527723</v>
      </c>
      <c r="AG120" s="184">
        <f t="shared" si="64"/>
        <v>-3000633.2236514422</v>
      </c>
      <c r="AI120" s="184">
        <f t="shared" si="67"/>
        <v>-431445.22018824215</v>
      </c>
      <c r="AJ120" s="184">
        <f t="shared" si="65"/>
        <v>-467771.74981569417</v>
      </c>
      <c r="AK120" s="184">
        <f t="shared" si="65"/>
        <v>-1115104.1262846296</v>
      </c>
      <c r="AL120" s="184">
        <f t="shared" si="65"/>
        <v>-1011682.9474083488</v>
      </c>
    </row>
    <row r="121" spans="8:38" ht="28.8" x14ac:dyDescent="0.3">
      <c r="H121" s="222" t="s">
        <v>897</v>
      </c>
      <c r="I121" s="221" t="s">
        <v>833</v>
      </c>
      <c r="J121" s="101">
        <f>$C$87*J104</f>
        <v>43868.509307831977</v>
      </c>
      <c r="K121" s="101">
        <f t="shared" si="78"/>
        <v>1817.0487685237294</v>
      </c>
      <c r="L121" s="101">
        <f t="shared" si="78"/>
        <v>3584.0284874923996</v>
      </c>
      <c r="M121" s="101">
        <f t="shared" si="78"/>
        <v>1376.7388024551485</v>
      </c>
      <c r="O121" s="195">
        <f>E$89-J121</f>
        <v>315007.497516506</v>
      </c>
      <c r="P121" s="183">
        <f t="shared" si="79"/>
        <v>12457.702194771631</v>
      </c>
      <c r="Q121" s="183">
        <f t="shared" si="79"/>
        <v>39796.112277594642</v>
      </c>
      <c r="R121" s="183">
        <f t="shared" si="79"/>
        <v>15129.916635793654</v>
      </c>
      <c r="T121" s="195">
        <f t="shared" si="69"/>
        <v>292711.3460844435</v>
      </c>
      <c r="U121" s="184">
        <f t="shared" si="62"/>
        <v>-2261.6705310408688</v>
      </c>
      <c r="V121" s="183">
        <f t="shared" si="62"/>
        <v>21858.860269469642</v>
      </c>
      <c r="W121" s="184">
        <f t="shared" si="62"/>
        <v>1206.9299964186539</v>
      </c>
      <c r="Y121" s="195">
        <f t="shared" si="70"/>
        <v>274345.41674394353</v>
      </c>
      <c r="Z121" s="184">
        <f t="shared" si="63"/>
        <v>-12749.357821540867</v>
      </c>
      <c r="AA121" s="183">
        <f t="shared" si="63"/>
        <v>8025.261364469643</v>
      </c>
      <c r="AB121" s="184">
        <f t="shared" si="63"/>
        <v>-8452.6847585813466</v>
      </c>
      <c r="AD121" s="184">
        <f t="shared" si="71"/>
        <v>-697073.31862331717</v>
      </c>
      <c r="AE121" s="184">
        <f t="shared" si="64"/>
        <v>-764856.58627070312</v>
      </c>
      <c r="AF121" s="184">
        <f t="shared" si="64"/>
        <v>-3101358.789904458</v>
      </c>
      <c r="AG121" s="184">
        <f t="shared" si="64"/>
        <v>-2999618.0808738447</v>
      </c>
      <c r="AI121" s="184">
        <f t="shared" si="67"/>
        <v>-398730.77718685311</v>
      </c>
      <c r="AJ121" s="184">
        <f t="shared" si="65"/>
        <v>-466514.04483423906</v>
      </c>
      <c r="AK121" s="184">
        <f t="shared" si="65"/>
        <v>-1112408.5136613648</v>
      </c>
      <c r="AL121" s="184">
        <f t="shared" si="65"/>
        <v>-1010667.804630751</v>
      </c>
    </row>
    <row r="122" spans="8:38" x14ac:dyDescent="0.3">
      <c r="H122" s="222"/>
      <c r="I122" s="221" t="s">
        <v>834</v>
      </c>
      <c r="J122" s="101">
        <f>$C$87*J105</f>
        <v>19785.005393275751</v>
      </c>
      <c r="K122" s="101">
        <f t="shared" si="78"/>
        <v>838.23934050682476</v>
      </c>
      <c r="L122" s="101">
        <f t="shared" si="78"/>
        <v>1600.681368022395</v>
      </c>
      <c r="M122" s="101">
        <f t="shared" si="78"/>
        <v>620.09509061722451</v>
      </c>
      <c r="O122" s="195">
        <f t="shared" ref="O122:O123" si="80">E$89-J122</f>
        <v>339091.00143106224</v>
      </c>
      <c r="P122" s="183">
        <f t="shared" si="79"/>
        <v>13436.511622788536</v>
      </c>
      <c r="Q122" s="183">
        <f t="shared" si="79"/>
        <v>41779.459397064646</v>
      </c>
      <c r="R122" s="183">
        <f t="shared" si="79"/>
        <v>15886.560347631579</v>
      </c>
      <c r="T122" s="195">
        <f t="shared" si="69"/>
        <v>316794.84999899974</v>
      </c>
      <c r="U122" s="184">
        <f t="shared" si="62"/>
        <v>-1282.8611030239645</v>
      </c>
      <c r="V122" s="183">
        <f t="shared" si="62"/>
        <v>23842.207388939645</v>
      </c>
      <c r="W122" s="184">
        <f t="shared" si="62"/>
        <v>1963.5737082565793</v>
      </c>
      <c r="Y122" s="195">
        <f t="shared" si="70"/>
        <v>298428.92065849976</v>
      </c>
      <c r="Z122" s="184">
        <f t="shared" si="63"/>
        <v>-11770.548393523963</v>
      </c>
      <c r="AA122" s="183">
        <f t="shared" si="63"/>
        <v>10008.608483939646</v>
      </c>
      <c r="AB122" s="184">
        <f t="shared" si="63"/>
        <v>-7696.0410467434212</v>
      </c>
      <c r="AD122" s="184">
        <f t="shared" si="71"/>
        <v>-672989.81470876094</v>
      </c>
      <c r="AE122" s="184">
        <f t="shared" si="64"/>
        <v>-763877.77684268623</v>
      </c>
      <c r="AF122" s="184">
        <f t="shared" si="64"/>
        <v>-3099375.4427849883</v>
      </c>
      <c r="AG122" s="184">
        <f t="shared" si="64"/>
        <v>-2998861.4371620067</v>
      </c>
      <c r="AI122" s="184">
        <f t="shared" si="67"/>
        <v>-374647.27327229688</v>
      </c>
      <c r="AJ122" s="184">
        <f t="shared" si="65"/>
        <v>-465535.23540622211</v>
      </c>
      <c r="AK122" s="184">
        <f t="shared" si="65"/>
        <v>-1110425.1665418947</v>
      </c>
      <c r="AL122" s="184">
        <f t="shared" si="65"/>
        <v>-1009911.1609189131</v>
      </c>
    </row>
    <row r="123" spans="8:38" x14ac:dyDescent="0.3">
      <c r="H123" s="111"/>
      <c r="I123" s="8" t="s">
        <v>835</v>
      </c>
      <c r="J123" s="170">
        <f>$C$87*J106</f>
        <v>4273.5426000068092</v>
      </c>
      <c r="K123" s="170">
        <f t="shared" si="78"/>
        <v>173.4730456721899</v>
      </c>
      <c r="L123" s="170">
        <f t="shared" si="78"/>
        <v>396.07377455033867</v>
      </c>
      <c r="M123" s="170">
        <f t="shared" si="78"/>
        <v>152.7003575283708</v>
      </c>
      <c r="N123" s="8"/>
      <c r="O123" s="196">
        <f t="shared" si="80"/>
        <v>354602.4642243312</v>
      </c>
      <c r="P123" s="193">
        <f t="shared" si="79"/>
        <v>14101.277917623171</v>
      </c>
      <c r="Q123" s="193">
        <f t="shared" si="79"/>
        <v>42984.066990536703</v>
      </c>
      <c r="R123" s="193">
        <f t="shared" si="79"/>
        <v>16353.955080720432</v>
      </c>
      <c r="S123" s="8"/>
      <c r="T123" s="196">
        <f t="shared" si="69"/>
        <v>332306.3127922687</v>
      </c>
      <c r="U123" s="197">
        <f t="shared" si="62"/>
        <v>-618.09480818932934</v>
      </c>
      <c r="V123" s="193">
        <f t="shared" si="62"/>
        <v>25046.814982411703</v>
      </c>
      <c r="W123" s="197">
        <f t="shared" si="62"/>
        <v>2430.9684413454324</v>
      </c>
      <c r="X123" s="8"/>
      <c r="Y123" s="196">
        <f t="shared" si="70"/>
        <v>313940.38345176872</v>
      </c>
      <c r="Z123" s="197">
        <f t="shared" si="63"/>
        <v>-11105.782098689328</v>
      </c>
      <c r="AA123" s="193">
        <f t="shared" si="63"/>
        <v>11213.216077411704</v>
      </c>
      <c r="AB123" s="197">
        <f t="shared" si="63"/>
        <v>-7228.6463136545681</v>
      </c>
      <c r="AC123" s="8"/>
      <c r="AD123" s="197">
        <f t="shared" si="71"/>
        <v>-657478.35191549198</v>
      </c>
      <c r="AE123" s="197">
        <f t="shared" si="64"/>
        <v>-763213.01054785156</v>
      </c>
      <c r="AF123" s="197">
        <f t="shared" si="64"/>
        <v>-3098170.8351915162</v>
      </c>
      <c r="AG123" s="197">
        <f t="shared" si="64"/>
        <v>-2998394.0424289177</v>
      </c>
      <c r="AI123" s="197">
        <f t="shared" si="67"/>
        <v>-359135.81047902792</v>
      </c>
      <c r="AJ123" s="197">
        <f t="shared" si="65"/>
        <v>-464870.4691113875</v>
      </c>
      <c r="AK123" s="197">
        <f t="shared" si="65"/>
        <v>-1109220.5589484228</v>
      </c>
      <c r="AL123" s="197">
        <f t="shared" si="65"/>
        <v>-1009443.7661858242</v>
      </c>
    </row>
    <row r="124" spans="8:38" x14ac:dyDescent="0.3">
      <c r="H124" s="237"/>
      <c r="I124" s="145" t="s">
        <v>983</v>
      </c>
      <c r="J124" s="101">
        <f>$C$91*J103</f>
        <v>5578.890565572392</v>
      </c>
      <c r="K124" s="101">
        <f t="shared" ref="K124:M127" si="81">$C$91*K103</f>
        <v>223.98868377329615</v>
      </c>
      <c r="L124" s="101">
        <f t="shared" si="81"/>
        <v>457.45729945912564</v>
      </c>
      <c r="M124" s="101">
        <f t="shared" si="81"/>
        <v>174.2430290104746</v>
      </c>
      <c r="N124" s="207"/>
      <c r="O124" s="183">
        <f>E$93-J124</f>
        <v>20564.394699776727</v>
      </c>
      <c r="P124" s="184">
        <f t="shared" ref="P124:R127" si="82">F$93-K124</f>
        <v>815.8938367316639</v>
      </c>
      <c r="Q124" s="184">
        <f t="shared" si="82"/>
        <v>2702.6854052823142</v>
      </c>
      <c r="R124" s="184">
        <f t="shared" si="82"/>
        <v>1028.2285592063254</v>
      </c>
      <c r="S124" s="207"/>
      <c r="T124" s="184">
        <f t="shared" si="69"/>
        <v>-1731.7567322857722</v>
      </c>
      <c r="U124" s="184">
        <f t="shared" si="69"/>
        <v>-13903.478889080836</v>
      </c>
      <c r="V124" s="184">
        <f t="shared" si="69"/>
        <v>-15234.566602842686</v>
      </c>
      <c r="W124" s="184">
        <f t="shared" si="69"/>
        <v>-12894.758080168674</v>
      </c>
      <c r="X124" s="207"/>
      <c r="Y124" s="184">
        <f t="shared" si="70"/>
        <v>-20097.686072785771</v>
      </c>
      <c r="Z124" s="184">
        <f t="shared" si="70"/>
        <v>-24391.166179580836</v>
      </c>
      <c r="AA124" s="184">
        <f t="shared" si="70"/>
        <v>-29068.165507842685</v>
      </c>
      <c r="AB124" s="184">
        <f t="shared" si="70"/>
        <v>-22554.372835168673</v>
      </c>
      <c r="AC124" s="207"/>
      <c r="AD124" s="184">
        <f t="shared" si="71"/>
        <v>-991516.4214400464</v>
      </c>
      <c r="AE124" s="184">
        <f t="shared" si="71"/>
        <v>-776498.39462874306</v>
      </c>
      <c r="AF124" s="184">
        <f t="shared" si="71"/>
        <v>-3138452.2167767705</v>
      </c>
      <c r="AG124" s="184">
        <f t="shared" si="71"/>
        <v>-3013719.7689504321</v>
      </c>
      <c r="AI124" s="184">
        <f t="shared" si="67"/>
        <v>-693173.88000358234</v>
      </c>
      <c r="AJ124" s="184">
        <f t="shared" si="65"/>
        <v>-478155.853192279</v>
      </c>
      <c r="AK124" s="184">
        <f t="shared" si="65"/>
        <v>-1149501.9405336771</v>
      </c>
      <c r="AL124" s="184">
        <f t="shared" si="65"/>
        <v>-1024769.4927073383</v>
      </c>
    </row>
    <row r="125" spans="8:38" ht="28.8" x14ac:dyDescent="0.3">
      <c r="H125" s="222" t="s">
        <v>898</v>
      </c>
      <c r="I125" s="221" t="s">
        <v>833</v>
      </c>
      <c r="J125" s="101">
        <f>$C$91*J104</f>
        <v>3195.7192211003421</v>
      </c>
      <c r="K125" s="101">
        <f t="shared" si="81"/>
        <v>132.36779108451009</v>
      </c>
      <c r="L125" s="101">
        <f t="shared" si="81"/>
        <v>261.08816796302244</v>
      </c>
      <c r="M125" s="101">
        <f t="shared" si="81"/>
        <v>100.29223064242802</v>
      </c>
      <c r="O125" s="183">
        <f>E$93-J125</f>
        <v>22947.566044248779</v>
      </c>
      <c r="P125" s="184">
        <f t="shared" si="82"/>
        <v>907.51472942044984</v>
      </c>
      <c r="Q125" s="184">
        <f t="shared" si="82"/>
        <v>2899.0545367784175</v>
      </c>
      <c r="R125" s="184">
        <f t="shared" si="82"/>
        <v>1102.179357574372</v>
      </c>
      <c r="T125" s="184">
        <f t="shared" si="69"/>
        <v>651.41461218627956</v>
      </c>
      <c r="U125" s="184">
        <f t="shared" si="69"/>
        <v>-13811.857996392049</v>
      </c>
      <c r="V125" s="184">
        <f t="shared" si="69"/>
        <v>-15038.197471346582</v>
      </c>
      <c r="W125" s="184">
        <f t="shared" si="69"/>
        <v>-12820.807281800628</v>
      </c>
      <c r="Y125" s="184">
        <f t="shared" si="70"/>
        <v>-17714.514728313719</v>
      </c>
      <c r="Z125" s="184">
        <f t="shared" si="70"/>
        <v>-24299.545286892047</v>
      </c>
      <c r="AA125" s="184">
        <f t="shared" si="70"/>
        <v>-28871.796376346581</v>
      </c>
      <c r="AB125" s="184">
        <f t="shared" si="70"/>
        <v>-22480.422036800628</v>
      </c>
      <c r="AD125" s="184">
        <f t="shared" si="71"/>
        <v>-989133.25009557442</v>
      </c>
      <c r="AE125" s="184">
        <f t="shared" si="71"/>
        <v>-776406.77373605431</v>
      </c>
      <c r="AF125" s="184">
        <f t="shared" si="71"/>
        <v>-3138255.8476452744</v>
      </c>
      <c r="AG125" s="184">
        <f t="shared" si="71"/>
        <v>-3013645.818152064</v>
      </c>
      <c r="AI125" s="184">
        <f t="shared" si="67"/>
        <v>-690790.70865911036</v>
      </c>
      <c r="AJ125" s="184">
        <f t="shared" si="65"/>
        <v>-478064.23229959025</v>
      </c>
      <c r="AK125" s="184">
        <f t="shared" si="65"/>
        <v>-1149305.5714021809</v>
      </c>
      <c r="AL125" s="184">
        <f t="shared" si="65"/>
        <v>-1024695.5419089703</v>
      </c>
    </row>
    <row r="126" spans="8:38" x14ac:dyDescent="0.3">
      <c r="H126" s="222"/>
      <c r="I126" s="221" t="s">
        <v>834</v>
      </c>
      <c r="J126" s="101">
        <f>$C$91*J105</f>
        <v>1441.2917836161141</v>
      </c>
      <c r="K126" s="101">
        <f t="shared" si="81"/>
        <v>61.063793017053456</v>
      </c>
      <c r="L126" s="101">
        <f t="shared" si="81"/>
        <v>116.60592747183009</v>
      </c>
      <c r="M126" s="101">
        <f t="shared" si="81"/>
        <v>45.172490044963375</v>
      </c>
      <c r="O126" s="183">
        <f t="shared" ref="O126:O127" si="83">E$93-J126</f>
        <v>24701.993481733007</v>
      </c>
      <c r="P126" s="184">
        <f t="shared" si="82"/>
        <v>978.81872748790647</v>
      </c>
      <c r="Q126" s="184">
        <f t="shared" si="82"/>
        <v>3043.53677726961</v>
      </c>
      <c r="R126" s="184">
        <f t="shared" si="82"/>
        <v>1157.2990981718367</v>
      </c>
      <c r="T126" s="184">
        <f t="shared" si="69"/>
        <v>2405.8420496705075</v>
      </c>
      <c r="U126" s="184">
        <f t="shared" si="69"/>
        <v>-13740.553998324594</v>
      </c>
      <c r="V126" s="184">
        <f t="shared" si="69"/>
        <v>-14893.71523085539</v>
      </c>
      <c r="W126" s="184">
        <f t="shared" si="69"/>
        <v>-12765.687541203162</v>
      </c>
      <c r="Y126" s="184">
        <f t="shared" si="70"/>
        <v>-15960.087290829491</v>
      </c>
      <c r="Z126" s="184">
        <f t="shared" si="70"/>
        <v>-24228.241288824593</v>
      </c>
      <c r="AA126" s="184">
        <f t="shared" si="70"/>
        <v>-28727.314135855391</v>
      </c>
      <c r="AB126" s="184">
        <f t="shared" si="70"/>
        <v>-22425.302296203165</v>
      </c>
      <c r="AD126" s="184">
        <f t="shared" si="71"/>
        <v>-987378.82265809015</v>
      </c>
      <c r="AE126" s="184">
        <f t="shared" si="71"/>
        <v>-776335.4697379868</v>
      </c>
      <c r="AF126" s="184">
        <f t="shared" si="71"/>
        <v>-3138111.3654047833</v>
      </c>
      <c r="AG126" s="184">
        <f t="shared" si="71"/>
        <v>-3013590.6984114666</v>
      </c>
      <c r="AI126" s="184">
        <f t="shared" si="67"/>
        <v>-689036.28122162609</v>
      </c>
      <c r="AJ126" s="184">
        <f t="shared" si="65"/>
        <v>-477992.92830152274</v>
      </c>
      <c r="AK126" s="184">
        <f t="shared" si="65"/>
        <v>-1149161.0891616899</v>
      </c>
      <c r="AL126" s="184">
        <f t="shared" si="65"/>
        <v>-1024640.4221683728</v>
      </c>
    </row>
    <row r="127" spans="8:38" x14ac:dyDescent="0.3">
      <c r="H127" s="111"/>
      <c r="I127" s="8" t="s">
        <v>835</v>
      </c>
      <c r="J127" s="170">
        <f>$C$91*J106</f>
        <v>311.31767284817812</v>
      </c>
      <c r="K127" s="170">
        <f t="shared" si="81"/>
        <v>12.63710928737807</v>
      </c>
      <c r="L127" s="170">
        <f t="shared" si="81"/>
        <v>28.853056424196854</v>
      </c>
      <c r="M127" s="170">
        <f t="shared" si="81"/>
        <v>11.123867104715753</v>
      </c>
      <c r="N127" s="8"/>
      <c r="O127" s="193">
        <f t="shared" si="83"/>
        <v>25831.967592500943</v>
      </c>
      <c r="P127" s="197">
        <f t="shared" si="82"/>
        <v>1027.2454112175819</v>
      </c>
      <c r="Q127" s="197">
        <f t="shared" si="82"/>
        <v>3131.2896483172431</v>
      </c>
      <c r="R127" s="197">
        <f t="shared" si="82"/>
        <v>1191.3477211120842</v>
      </c>
      <c r="S127" s="8"/>
      <c r="T127" s="197">
        <f t="shared" si="69"/>
        <v>3535.8161604384441</v>
      </c>
      <c r="U127" s="197">
        <f t="shared" si="69"/>
        <v>-13692.127314594918</v>
      </c>
      <c r="V127" s="197">
        <f t="shared" si="69"/>
        <v>-14805.962359807758</v>
      </c>
      <c r="W127" s="197">
        <f t="shared" si="69"/>
        <v>-12731.638918262915</v>
      </c>
      <c r="X127" s="8"/>
      <c r="Y127" s="197">
        <f t="shared" si="70"/>
        <v>-14830.113180061555</v>
      </c>
      <c r="Z127" s="197">
        <f t="shared" si="70"/>
        <v>-24179.814605094914</v>
      </c>
      <c r="AA127" s="197">
        <f t="shared" si="70"/>
        <v>-28639.561264807755</v>
      </c>
      <c r="AB127" s="197">
        <f t="shared" si="70"/>
        <v>-22391.253673262916</v>
      </c>
      <c r="AC127" s="8"/>
      <c r="AD127" s="197">
        <f t="shared" si="71"/>
        <v>-986248.84854732221</v>
      </c>
      <c r="AE127" s="197">
        <f t="shared" si="71"/>
        <v>-776287.04305425717</v>
      </c>
      <c r="AF127" s="197">
        <f t="shared" si="71"/>
        <v>-3138023.6125337356</v>
      </c>
      <c r="AG127" s="197">
        <f t="shared" si="71"/>
        <v>-3013556.6497885264</v>
      </c>
      <c r="AI127" s="197">
        <f t="shared" si="67"/>
        <v>-687906.30711085815</v>
      </c>
      <c r="AJ127" s="197">
        <f t="shared" si="65"/>
        <v>-477944.50161779311</v>
      </c>
      <c r="AK127" s="197">
        <f t="shared" si="65"/>
        <v>-1149073.3362906422</v>
      </c>
      <c r="AL127" s="197">
        <f t="shared" si="65"/>
        <v>-1024606.3735454326</v>
      </c>
    </row>
    <row r="128" spans="8:38" x14ac:dyDescent="0.3">
      <c r="H128" s="237"/>
      <c r="I128" s="145" t="s">
        <v>983</v>
      </c>
      <c r="J128" s="101">
        <f>$C$95*J103</f>
        <v>760.75780439623531</v>
      </c>
      <c r="K128" s="101">
        <f t="shared" ref="K128:M131" si="84">$C$95*K103</f>
        <v>30.543911423631293</v>
      </c>
      <c r="L128" s="101">
        <f t="shared" si="84"/>
        <v>62.380540835335317</v>
      </c>
      <c r="M128" s="101">
        <f t="shared" si="84"/>
        <v>23.760413046882899</v>
      </c>
      <c r="N128" s="207"/>
      <c r="O128" s="184">
        <f>E$97-J128</f>
        <v>2804.235640878645</v>
      </c>
      <c r="P128" s="184">
        <f t="shared" ref="P128:R131" si="85">F$97-K128</f>
        <v>111.2582504634087</v>
      </c>
      <c r="Q128" s="184">
        <f t="shared" si="85"/>
        <v>368.54800981122469</v>
      </c>
      <c r="R128" s="184">
        <f t="shared" si="85"/>
        <v>140.21298534631711</v>
      </c>
      <c r="S128" s="207"/>
      <c r="T128" s="184">
        <f t="shared" si="69"/>
        <v>-19491.915791183856</v>
      </c>
      <c r="U128" s="184">
        <f t="shared" si="69"/>
        <v>-14608.114475349092</v>
      </c>
      <c r="V128" s="184">
        <f t="shared" si="69"/>
        <v>-17568.703998313777</v>
      </c>
      <c r="W128" s="184">
        <f t="shared" si="69"/>
        <v>-13782.773654028682</v>
      </c>
      <c r="X128" s="207"/>
      <c r="Y128" s="184">
        <f t="shared" si="70"/>
        <v>-37857.845131683855</v>
      </c>
      <c r="Z128" s="184">
        <f t="shared" si="70"/>
        <v>-25095.80176584909</v>
      </c>
      <c r="AA128" s="184">
        <f t="shared" si="70"/>
        <v>-31402.302903313775</v>
      </c>
      <c r="AB128" s="184">
        <f t="shared" si="70"/>
        <v>-23442.388409028685</v>
      </c>
      <c r="AC128" s="207"/>
      <c r="AD128" s="184">
        <f t="shared" si="71"/>
        <v>-1009276.5804989445</v>
      </c>
      <c r="AE128" s="184">
        <f t="shared" si="71"/>
        <v>-777203.03021501133</v>
      </c>
      <c r="AF128" s="184">
        <f t="shared" si="71"/>
        <v>-3140786.3541722414</v>
      </c>
      <c r="AG128" s="184">
        <f t="shared" si="71"/>
        <v>-3014607.7845242922</v>
      </c>
      <c r="AI128" s="184">
        <f t="shared" si="67"/>
        <v>-710934.03906248044</v>
      </c>
      <c r="AJ128" s="184">
        <f t="shared" si="65"/>
        <v>-478860.48877854727</v>
      </c>
      <c r="AK128" s="184">
        <f t="shared" si="65"/>
        <v>-1151836.0779291482</v>
      </c>
      <c r="AL128" s="184">
        <f t="shared" si="65"/>
        <v>-1025657.5082811983</v>
      </c>
    </row>
    <row r="129" spans="8:38" x14ac:dyDescent="0.3">
      <c r="H129" s="222" t="s">
        <v>825</v>
      </c>
      <c r="I129" s="221" t="s">
        <v>833</v>
      </c>
      <c r="J129" s="101">
        <f>$C$95*J104</f>
        <v>435.7798937864103</v>
      </c>
      <c r="K129" s="101">
        <f t="shared" si="84"/>
        <v>18.050153329705921</v>
      </c>
      <c r="L129" s="101">
        <f t="shared" si="84"/>
        <v>35.602931994957608</v>
      </c>
      <c r="M129" s="101">
        <f t="shared" si="84"/>
        <v>13.676213269422004</v>
      </c>
      <c r="O129" s="184">
        <f>E$97-J129</f>
        <v>3129.2135514884699</v>
      </c>
      <c r="P129" s="184">
        <f t="shared" si="85"/>
        <v>123.75200855733408</v>
      </c>
      <c r="Q129" s="184">
        <f t="shared" si="85"/>
        <v>395.32561865160238</v>
      </c>
      <c r="R129" s="184">
        <f t="shared" si="85"/>
        <v>150.29718512377801</v>
      </c>
      <c r="T129" s="184">
        <f t="shared" si="69"/>
        <v>-19166.937880574031</v>
      </c>
      <c r="U129" s="184">
        <f t="shared" si="69"/>
        <v>-14595.620717255166</v>
      </c>
      <c r="V129" s="184">
        <f t="shared" si="69"/>
        <v>-17541.926389473399</v>
      </c>
      <c r="W129" s="184">
        <f t="shared" si="69"/>
        <v>-13772.689454251222</v>
      </c>
      <c r="Y129" s="184">
        <f t="shared" si="70"/>
        <v>-37532.867221074026</v>
      </c>
      <c r="Z129" s="184">
        <f t="shared" si="70"/>
        <v>-25083.308007755164</v>
      </c>
      <c r="AA129" s="184">
        <f t="shared" si="70"/>
        <v>-31375.525294473398</v>
      </c>
      <c r="AB129" s="184">
        <f t="shared" si="70"/>
        <v>-23432.304209251222</v>
      </c>
      <c r="AD129" s="184">
        <f t="shared" si="71"/>
        <v>-1008951.6025883347</v>
      </c>
      <c r="AE129" s="184">
        <f t="shared" si="71"/>
        <v>-777190.53645691741</v>
      </c>
      <c r="AF129" s="184">
        <f t="shared" si="71"/>
        <v>-3140759.5765634011</v>
      </c>
      <c r="AG129" s="184">
        <f t="shared" si="71"/>
        <v>-3014597.7003245144</v>
      </c>
      <c r="AI129" s="184">
        <f t="shared" si="67"/>
        <v>-710609.06115187064</v>
      </c>
      <c r="AJ129" s="184">
        <f t="shared" si="65"/>
        <v>-478847.99502045335</v>
      </c>
      <c r="AK129" s="184">
        <f t="shared" si="65"/>
        <v>-1151809.3003203077</v>
      </c>
      <c r="AL129" s="184">
        <f t="shared" si="65"/>
        <v>-1025647.4240814209</v>
      </c>
    </row>
    <row r="130" spans="8:38" x14ac:dyDescent="0.3">
      <c r="H130" s="221" t="s">
        <v>900</v>
      </c>
      <c r="I130" s="221" t="s">
        <v>834</v>
      </c>
      <c r="J130" s="101">
        <f>$C$95*J105</f>
        <v>196.53978867492467</v>
      </c>
      <c r="K130" s="101">
        <f t="shared" si="84"/>
        <v>8.3268808659618347</v>
      </c>
      <c r="L130" s="101">
        <f t="shared" si="84"/>
        <v>15.900808291613195</v>
      </c>
      <c r="M130" s="101">
        <f t="shared" si="84"/>
        <v>6.1598850061313692</v>
      </c>
      <c r="O130" s="184">
        <f t="shared" ref="O130:O131" si="86">E$97-J130</f>
        <v>3368.4536565999556</v>
      </c>
      <c r="P130" s="184">
        <f t="shared" si="85"/>
        <v>133.47528102107816</v>
      </c>
      <c r="Q130" s="184">
        <f t="shared" si="85"/>
        <v>415.02774235494678</v>
      </c>
      <c r="R130" s="184">
        <f t="shared" si="85"/>
        <v>157.81351338706864</v>
      </c>
      <c r="T130" s="184">
        <f t="shared" si="69"/>
        <v>-18927.697775462544</v>
      </c>
      <c r="U130" s="184">
        <f t="shared" si="69"/>
        <v>-14585.897444791422</v>
      </c>
      <c r="V130" s="184">
        <f t="shared" si="69"/>
        <v>-17522.224265770055</v>
      </c>
      <c r="W130" s="184">
        <f t="shared" si="69"/>
        <v>-13765.173125987931</v>
      </c>
      <c r="Y130" s="184">
        <f t="shared" si="70"/>
        <v>-37293.627115962539</v>
      </c>
      <c r="Z130" s="184">
        <f t="shared" si="70"/>
        <v>-25073.584735291421</v>
      </c>
      <c r="AA130" s="184">
        <f t="shared" si="70"/>
        <v>-31355.823170770054</v>
      </c>
      <c r="AB130" s="184">
        <f t="shared" si="70"/>
        <v>-23424.787880987933</v>
      </c>
      <c r="AD130" s="184">
        <f t="shared" si="71"/>
        <v>-1008712.3624832232</v>
      </c>
      <c r="AE130" s="184">
        <f t="shared" si="71"/>
        <v>-777180.81318445364</v>
      </c>
      <c r="AF130" s="184">
        <f t="shared" si="71"/>
        <v>-3140739.8744396977</v>
      </c>
      <c r="AG130" s="184">
        <f t="shared" si="71"/>
        <v>-3014590.1839962513</v>
      </c>
      <c r="AI130" s="184">
        <f t="shared" si="67"/>
        <v>-710369.82104675914</v>
      </c>
      <c r="AJ130" s="184">
        <f t="shared" si="65"/>
        <v>-478838.27174798958</v>
      </c>
      <c r="AK130" s="184">
        <f t="shared" si="65"/>
        <v>-1151789.5981966045</v>
      </c>
      <c r="AL130" s="184">
        <f t="shared" si="65"/>
        <v>-1025639.9077531575</v>
      </c>
    </row>
    <row r="131" spans="8:38" x14ac:dyDescent="0.3">
      <c r="H131" s="8"/>
      <c r="I131" s="8" t="s">
        <v>835</v>
      </c>
      <c r="J131" s="170">
        <f>$C$95*J106</f>
        <v>42.452409933842475</v>
      </c>
      <c r="K131" s="170">
        <f t="shared" si="84"/>
        <v>1.7232421755515552</v>
      </c>
      <c r="L131" s="170">
        <f t="shared" si="84"/>
        <v>3.9345076942086625</v>
      </c>
      <c r="M131" s="170">
        <f t="shared" si="84"/>
        <v>1.5168909688248755</v>
      </c>
      <c r="N131" s="8"/>
      <c r="O131" s="197">
        <f t="shared" si="86"/>
        <v>3522.541035341038</v>
      </c>
      <c r="P131" s="197">
        <f t="shared" si="85"/>
        <v>140.07891971148845</v>
      </c>
      <c r="Q131" s="197">
        <f t="shared" si="85"/>
        <v>426.99404295235132</v>
      </c>
      <c r="R131" s="197">
        <f t="shared" si="85"/>
        <v>162.45650742437513</v>
      </c>
      <c r="S131" s="8"/>
      <c r="T131" s="197">
        <f t="shared" si="69"/>
        <v>-18773.610396721462</v>
      </c>
      <c r="U131" s="197">
        <f t="shared" si="69"/>
        <v>-14579.293806101012</v>
      </c>
      <c r="V131" s="197">
        <f t="shared" si="69"/>
        <v>-17510.257965172648</v>
      </c>
      <c r="W131" s="197">
        <f t="shared" si="69"/>
        <v>-13760.530131950625</v>
      </c>
      <c r="X131" s="8"/>
      <c r="Y131" s="197">
        <f t="shared" si="70"/>
        <v>-37139.539737221457</v>
      </c>
      <c r="Z131" s="197">
        <f t="shared" si="70"/>
        <v>-25066.981096601008</v>
      </c>
      <c r="AA131" s="197">
        <f t="shared" si="70"/>
        <v>-31343.856870172647</v>
      </c>
      <c r="AB131" s="197">
        <f t="shared" si="70"/>
        <v>-23420.144886950624</v>
      </c>
      <c r="AC131" s="8"/>
      <c r="AD131" s="197">
        <f t="shared" si="71"/>
        <v>-1008558.2751044822</v>
      </c>
      <c r="AE131" s="197">
        <f t="shared" si="71"/>
        <v>-777174.20954576321</v>
      </c>
      <c r="AF131" s="197">
        <f t="shared" si="71"/>
        <v>-3140727.9081391003</v>
      </c>
      <c r="AG131" s="197">
        <f t="shared" si="71"/>
        <v>-3014585.541002214</v>
      </c>
      <c r="AI131" s="197">
        <f t="shared" si="67"/>
        <v>-710215.73366801813</v>
      </c>
      <c r="AJ131" s="197">
        <f t="shared" si="65"/>
        <v>-478831.66810929921</v>
      </c>
      <c r="AK131" s="197">
        <f t="shared" si="65"/>
        <v>-1151777.6318960071</v>
      </c>
      <c r="AL131" s="197">
        <f t="shared" si="65"/>
        <v>-1025635.2647591203</v>
      </c>
    </row>
    <row r="133" spans="8:38" x14ac:dyDescent="0.3">
      <c r="M133" s="1" t="s">
        <v>843</v>
      </c>
      <c r="N133" s="1" t="s">
        <v>986</v>
      </c>
      <c r="O133" s="1">
        <v>0.84483886900048688</v>
      </c>
      <c r="P133" s="1">
        <v>0.32968897077522763</v>
      </c>
      <c r="Q133" s="1">
        <v>5.0551167016252493E-2</v>
      </c>
      <c r="R133" s="1">
        <v>2.2788503274350463E-3</v>
      </c>
    </row>
    <row r="134" spans="8:38" x14ac:dyDescent="0.3">
      <c r="N134" s="1" t="s">
        <v>806</v>
      </c>
      <c r="O134" s="1">
        <v>0.84761956428777885</v>
      </c>
      <c r="P134" s="1">
        <v>0.33798811536505968</v>
      </c>
      <c r="Q134" s="1">
        <v>5.1915930497005776E-2</v>
      </c>
      <c r="R134" s="1">
        <v>2.302516933321134E-3</v>
      </c>
    </row>
    <row r="135" spans="8:38" x14ac:dyDescent="0.3">
      <c r="N135" s="1" t="s">
        <v>807</v>
      </c>
      <c r="O135" s="1">
        <v>0.8488396992536047</v>
      </c>
      <c r="P135" s="1">
        <v>0.34273127100522621</v>
      </c>
      <c r="Q135" s="1">
        <v>5.2781724788308497E-2</v>
      </c>
      <c r="R135" s="1">
        <v>2.3112845299819436E-3</v>
      </c>
    </row>
    <row r="136" spans="8:38" x14ac:dyDescent="0.3">
      <c r="N136" s="1" t="s">
        <v>808</v>
      </c>
      <c r="O136" s="1">
        <v>0.84950213548807962</v>
      </c>
      <c r="P136" s="1">
        <v>0.34609032608278395</v>
      </c>
      <c r="Q136" s="1">
        <v>5.3583849483553193E-2</v>
      </c>
      <c r="R136" s="1">
        <v>2.3149985845996169E-3</v>
      </c>
    </row>
    <row r="137" spans="8:38" x14ac:dyDescent="0.3">
      <c r="M137" s="1" t="s">
        <v>987</v>
      </c>
      <c r="N137" s="1" t="s">
        <v>986</v>
      </c>
      <c r="O137" s="1">
        <v>2.0061196510307647E-2</v>
      </c>
      <c r="P137" s="1">
        <v>3.0950269876906879E-2</v>
      </c>
      <c r="Q137" s="1">
        <v>0.15156052709350104</v>
      </c>
      <c r="R137" s="1">
        <v>7.5875992155597052E-2</v>
      </c>
    </row>
    <row r="138" spans="8:38" x14ac:dyDescent="0.3">
      <c r="N138" s="1" t="s">
        <v>806</v>
      </c>
      <c r="O138" s="1">
        <v>1.935094572998915E-2</v>
      </c>
      <c r="P138" s="1">
        <v>3.0415794105322642E-2</v>
      </c>
      <c r="Q138" s="1">
        <v>0.15205109781406359</v>
      </c>
      <c r="R138" s="1">
        <v>7.736401916259468E-2</v>
      </c>
    </row>
    <row r="139" spans="8:38" x14ac:dyDescent="0.3">
      <c r="N139" s="1" t="s">
        <v>807</v>
      </c>
      <c r="O139" s="1">
        <v>1.8740030539283487E-2</v>
      </c>
      <c r="P139" s="1">
        <v>2.979902207297987E-2</v>
      </c>
      <c r="Q139" s="1">
        <v>0.15177237439186386</v>
      </c>
      <c r="R139" s="1">
        <v>7.8184696011691701E-2</v>
      </c>
    </row>
    <row r="140" spans="8:38" x14ac:dyDescent="0.3">
      <c r="N140" s="1" t="s">
        <v>808</v>
      </c>
      <c r="O140" s="1">
        <v>1.8186632430057404E-2</v>
      </c>
      <c r="P140" s="1">
        <v>2.9185153865632005E-2</v>
      </c>
      <c r="Q140" s="1">
        <v>0.15109638584883781</v>
      </c>
      <c r="R140" s="1">
        <v>7.8852129974214077E-2</v>
      </c>
    </row>
    <row r="141" spans="8:38" x14ac:dyDescent="0.3">
      <c r="M141" s="1" t="s">
        <v>845</v>
      </c>
      <c r="N141" s="1" t="s">
        <v>986</v>
      </c>
      <c r="O141" s="1">
        <v>0.13509993448920546</v>
      </c>
      <c r="P141" s="1">
        <v>0.6393607593478654</v>
      </c>
      <c r="Q141" s="1">
        <v>0.79788830589024651</v>
      </c>
      <c r="R141" s="1">
        <v>0.92184515751696794</v>
      </c>
    </row>
    <row r="142" spans="8:38" x14ac:dyDescent="0.3">
      <c r="N142" s="1" t="s">
        <v>806</v>
      </c>
      <c r="O142" s="1">
        <v>0.13302948998223196</v>
      </c>
      <c r="P142" s="1">
        <v>0.63159609052961763</v>
      </c>
      <c r="Q142" s="1">
        <v>0.79603297168893061</v>
      </c>
      <c r="R142" s="1">
        <v>0.92033346390408421</v>
      </c>
    </row>
    <row r="143" spans="8:38" x14ac:dyDescent="0.3">
      <c r="N143" s="1" t="s">
        <v>807</v>
      </c>
      <c r="O143" s="1">
        <v>0.13242027020711183</v>
      </c>
      <c r="P143" s="1">
        <v>0.62746970692179393</v>
      </c>
      <c r="Q143" s="1">
        <v>0.79544590081982769</v>
      </c>
      <c r="R143" s="1">
        <v>0.91950401945832627</v>
      </c>
    </row>
    <row r="144" spans="8:38" x14ac:dyDescent="0.3">
      <c r="N144" s="1" t="s">
        <v>808</v>
      </c>
      <c r="O144" s="1">
        <v>0.13231123208186299</v>
      </c>
      <c r="P144" s="1">
        <v>0.62472452005158408</v>
      </c>
      <c r="Q144" s="1">
        <v>0.79531976466760912</v>
      </c>
      <c r="R144" s="1">
        <v>0.91883287144118631</v>
      </c>
    </row>
    <row r="146" spans="13:33" x14ac:dyDescent="0.3">
      <c r="N146" s="1" t="s">
        <v>855</v>
      </c>
      <c r="T146" s="221" t="s">
        <v>944</v>
      </c>
      <c r="Y146" s="221" t="s">
        <v>943</v>
      </c>
      <c r="AD146" s="221" t="s">
        <v>946</v>
      </c>
    </row>
    <row r="147" spans="13:33" x14ac:dyDescent="0.3">
      <c r="M147" s="176" t="s">
        <v>821</v>
      </c>
      <c r="O147" s="188" t="s">
        <v>826</v>
      </c>
      <c r="P147" s="188" t="s">
        <v>827</v>
      </c>
      <c r="Q147" s="188" t="s">
        <v>828</v>
      </c>
      <c r="R147" s="188" t="s">
        <v>829</v>
      </c>
      <c r="T147" s="170">
        <v>22296.151432062499</v>
      </c>
      <c r="U147" s="170">
        <v>14719.3727258125</v>
      </c>
      <c r="V147" s="170">
        <v>17937.252008125</v>
      </c>
      <c r="W147" s="170">
        <v>13922.986639375</v>
      </c>
      <c r="X147" s="8"/>
      <c r="Y147" s="170">
        <v>40662.080772562498</v>
      </c>
      <c r="Z147" s="170">
        <v>25207.060016312498</v>
      </c>
      <c r="AA147" s="170">
        <v>31770.850913124999</v>
      </c>
      <c r="AB147" s="170">
        <v>23582.601394375</v>
      </c>
      <c r="AC147" s="8"/>
      <c r="AD147" s="170">
        <f>Y147*15</f>
        <v>609931.21158843744</v>
      </c>
      <c r="AE147" s="170">
        <f>Z147*15</f>
        <v>378105.90024468745</v>
      </c>
      <c r="AF147" s="170">
        <f>AA147*15</f>
        <v>476562.76369687502</v>
      </c>
      <c r="AG147" s="170">
        <f>AB147*15</f>
        <v>353739.02091562503</v>
      </c>
    </row>
    <row r="148" spans="13:33" x14ac:dyDescent="0.3">
      <c r="M148" s="225"/>
      <c r="O148" s="182">
        <f>O108*O133</f>
        <v>789709089.08358991</v>
      </c>
      <c r="P148" s="182">
        <f t="shared" ref="P148:R148" si="87">P108*P133</f>
        <v>12226872.695177905</v>
      </c>
      <c r="Q148" s="182">
        <f t="shared" si="87"/>
        <v>6210177.3324915599</v>
      </c>
      <c r="R148" s="195">
        <f t="shared" si="87"/>
        <v>106508.13585570002</v>
      </c>
      <c r="T148" s="182">
        <f>O148-T$147</f>
        <v>789686792.93215787</v>
      </c>
      <c r="U148" s="182">
        <f t="shared" ref="U148:W163" si="88">P148-U$147</f>
        <v>12212153.322452093</v>
      </c>
      <c r="V148" s="182">
        <f t="shared" si="88"/>
        <v>6192240.0804834347</v>
      </c>
      <c r="W148" s="195">
        <f t="shared" si="88"/>
        <v>92585.149216325022</v>
      </c>
      <c r="Y148" s="182">
        <f>O148-Y$147</f>
        <v>789668427.00281739</v>
      </c>
      <c r="Z148" s="182">
        <f t="shared" ref="Z148:AB163" si="89">P148-Z$147</f>
        <v>12201665.635161594</v>
      </c>
      <c r="AA148" s="182">
        <f t="shared" si="89"/>
        <v>6178406.4815784348</v>
      </c>
      <c r="AB148" s="195">
        <f t="shared" si="89"/>
        <v>82925.53446132502</v>
      </c>
      <c r="AC148" s="207"/>
      <c r="AD148" s="182">
        <f>O148-AD$147</f>
        <v>789099157.87200153</v>
      </c>
      <c r="AE148" s="182">
        <f t="shared" ref="AE148:AG163" si="90">P148-AE$147</f>
        <v>11848766.794933219</v>
      </c>
      <c r="AF148" s="182">
        <f t="shared" si="90"/>
        <v>5733614.5687946845</v>
      </c>
      <c r="AG148" s="184">
        <f t="shared" si="90"/>
        <v>-247230.88505992503</v>
      </c>
    </row>
    <row r="149" spans="13:33" x14ac:dyDescent="0.3">
      <c r="M149" s="222" t="s">
        <v>824</v>
      </c>
      <c r="O149" s="182">
        <f t="shared" ref="O149:R151" si="91">O109*O134</f>
        <v>884127542.35869002</v>
      </c>
      <c r="P149" s="182">
        <f t="shared" si="91"/>
        <v>13942236.048311364</v>
      </c>
      <c r="Q149" s="182">
        <f t="shared" si="91"/>
        <v>6841232.4472007994</v>
      </c>
      <c r="R149" s="195">
        <f t="shared" si="91"/>
        <v>115353.93792600003</v>
      </c>
      <c r="T149" s="182">
        <f>O149-T$147</f>
        <v>884105246.20725799</v>
      </c>
      <c r="U149" s="182">
        <f t="shared" si="88"/>
        <v>13927516.675585551</v>
      </c>
      <c r="V149" s="182">
        <f t="shared" si="88"/>
        <v>6823295.1951926742</v>
      </c>
      <c r="W149" s="195">
        <f t="shared" si="88"/>
        <v>101430.95128662503</v>
      </c>
      <c r="Y149" s="182">
        <f>O149-Y$147</f>
        <v>884086880.2779175</v>
      </c>
      <c r="Z149" s="182">
        <f t="shared" si="89"/>
        <v>13917028.988295052</v>
      </c>
      <c r="AA149" s="182">
        <f t="shared" si="89"/>
        <v>6809461.5962876743</v>
      </c>
      <c r="AB149" s="195">
        <f t="shared" si="89"/>
        <v>91771.336531625027</v>
      </c>
      <c r="AD149" s="182">
        <f>O149-AD$147</f>
        <v>883517611.14710164</v>
      </c>
      <c r="AE149" s="182">
        <f t="shared" si="90"/>
        <v>13564130.148066677</v>
      </c>
      <c r="AF149" s="182">
        <f t="shared" si="90"/>
        <v>6364669.6835039239</v>
      </c>
      <c r="AG149" s="184">
        <f t="shared" si="90"/>
        <v>-238385.08298962499</v>
      </c>
    </row>
    <row r="150" spans="13:33" x14ac:dyDescent="0.3">
      <c r="M150" s="222" t="s">
        <v>899</v>
      </c>
      <c r="O150" s="182">
        <f t="shared" si="91"/>
        <v>953092396.27267039</v>
      </c>
      <c r="P150" s="182">
        <f t="shared" si="91"/>
        <v>15248717.57071129</v>
      </c>
      <c r="Q150" s="182">
        <f t="shared" si="91"/>
        <v>7301960.0254972689</v>
      </c>
      <c r="R150" s="195">
        <f t="shared" si="91"/>
        <v>121583.97737121003</v>
      </c>
      <c r="T150" s="182">
        <f t="shared" ref="T150:W171" si="92">O150-T$147</f>
        <v>953070100.12123835</v>
      </c>
      <c r="U150" s="182">
        <f t="shared" si="88"/>
        <v>15233998.197985478</v>
      </c>
      <c r="V150" s="182">
        <f t="shared" si="88"/>
        <v>7284022.7734891437</v>
      </c>
      <c r="W150" s="195">
        <f t="shared" si="88"/>
        <v>107660.99073183503</v>
      </c>
      <c r="Y150" s="182">
        <f t="shared" ref="Y150:AB171" si="93">O150-Y$147</f>
        <v>953051734.19189787</v>
      </c>
      <c r="Z150" s="182">
        <f t="shared" si="89"/>
        <v>15223510.510694979</v>
      </c>
      <c r="AA150" s="182">
        <f t="shared" si="89"/>
        <v>7270189.1745841438</v>
      </c>
      <c r="AB150" s="195">
        <f t="shared" si="89"/>
        <v>98001.375976835028</v>
      </c>
      <c r="AD150" s="182">
        <f t="shared" ref="AD150:AG171" si="94">O150-AD$147</f>
        <v>952482465.06108201</v>
      </c>
      <c r="AE150" s="182">
        <f t="shared" si="90"/>
        <v>14870611.670466604</v>
      </c>
      <c r="AF150" s="182">
        <f t="shared" si="90"/>
        <v>6825397.2618003935</v>
      </c>
      <c r="AG150" s="184">
        <f t="shared" si="90"/>
        <v>-232155.04354441501</v>
      </c>
    </row>
    <row r="151" spans="13:33" x14ac:dyDescent="0.3">
      <c r="M151" s="111"/>
      <c r="N151" s="8"/>
      <c r="O151" s="194">
        <f t="shared" si="91"/>
        <v>997468710.62220097</v>
      </c>
      <c r="P151" s="194">
        <f t="shared" si="91"/>
        <v>16159986.333424382</v>
      </c>
      <c r="Q151" s="194">
        <f t="shared" si="91"/>
        <v>7626661.5093108807</v>
      </c>
      <c r="R151" s="196">
        <f t="shared" si="91"/>
        <v>125362.19491547519</v>
      </c>
      <c r="T151" s="194">
        <f t="shared" si="92"/>
        <v>997446414.47076893</v>
      </c>
      <c r="U151" s="194">
        <f t="shared" si="88"/>
        <v>16145266.960698569</v>
      </c>
      <c r="V151" s="194">
        <f t="shared" si="88"/>
        <v>7608724.2573027555</v>
      </c>
      <c r="W151" s="196">
        <f t="shared" si="88"/>
        <v>111439.20827610019</v>
      </c>
      <c r="Y151" s="194">
        <f t="shared" si="93"/>
        <v>997428048.54142845</v>
      </c>
      <c r="Z151" s="194">
        <f t="shared" si="89"/>
        <v>16134779.27340807</v>
      </c>
      <c r="AA151" s="194">
        <f t="shared" si="89"/>
        <v>7594890.6583977556</v>
      </c>
      <c r="AB151" s="196">
        <f t="shared" si="89"/>
        <v>101779.59352110019</v>
      </c>
      <c r="AC151" s="8"/>
      <c r="AD151" s="194">
        <f t="shared" si="94"/>
        <v>996858779.41061258</v>
      </c>
      <c r="AE151" s="194">
        <f t="shared" si="90"/>
        <v>15781880.433179695</v>
      </c>
      <c r="AF151" s="194">
        <f t="shared" si="90"/>
        <v>7150098.7456140053</v>
      </c>
      <c r="AG151" s="197">
        <f t="shared" si="90"/>
        <v>-228376.82600014983</v>
      </c>
    </row>
    <row r="152" spans="13:33" x14ac:dyDescent="0.3">
      <c r="M152" s="237"/>
      <c r="N152" s="207"/>
      <c r="O152" s="182">
        <f>O112*O133</f>
        <v>7693345.9458523346</v>
      </c>
      <c r="P152" s="195">
        <f t="shared" ref="P152:R152" si="95">P112*P133</f>
        <v>119114.19379642315</v>
      </c>
      <c r="Q152" s="183">
        <f t="shared" si="95"/>
        <v>60499.547573132782</v>
      </c>
      <c r="R152" s="184">
        <f t="shared" si="95"/>
        <v>1037.6022595062298</v>
      </c>
      <c r="T152" s="182">
        <f t="shared" si="92"/>
        <v>7671049.7944202721</v>
      </c>
      <c r="U152" s="195">
        <f t="shared" si="88"/>
        <v>104394.82107061065</v>
      </c>
      <c r="V152" s="183">
        <f t="shared" si="88"/>
        <v>42562.295565007778</v>
      </c>
      <c r="W152" s="184">
        <f t="shared" si="88"/>
        <v>-12885.38437986877</v>
      </c>
      <c r="Y152" s="182">
        <f t="shared" si="93"/>
        <v>7652683.8650797717</v>
      </c>
      <c r="Z152" s="195">
        <f t="shared" si="89"/>
        <v>93907.133780110657</v>
      </c>
      <c r="AA152" s="183">
        <f t="shared" si="89"/>
        <v>28728.696660007783</v>
      </c>
      <c r="AB152" s="184">
        <f t="shared" si="89"/>
        <v>-22544.999134868769</v>
      </c>
      <c r="AC152" s="207"/>
      <c r="AD152" s="182">
        <f t="shared" si="94"/>
        <v>7083414.7342638969</v>
      </c>
      <c r="AE152" s="184">
        <f t="shared" si="90"/>
        <v>-258991.7064482643</v>
      </c>
      <c r="AF152" s="184">
        <f t="shared" si="90"/>
        <v>-416063.21612374223</v>
      </c>
      <c r="AG152" s="184">
        <f t="shared" si="90"/>
        <v>-352701.4186561188</v>
      </c>
    </row>
    <row r="153" spans="13:33" ht="28.8" x14ac:dyDescent="0.3">
      <c r="M153" s="222" t="s">
        <v>895</v>
      </c>
      <c r="O153" s="182">
        <f t="shared" ref="O153:R155" si="96">O113*O134</f>
        <v>8613170.5176583584</v>
      </c>
      <c r="P153" s="195">
        <f t="shared" si="96"/>
        <v>135825.26358264929</v>
      </c>
      <c r="Q153" s="183">
        <f t="shared" si="96"/>
        <v>66647.286500630187</v>
      </c>
      <c r="R153" s="184">
        <f t="shared" si="96"/>
        <v>1123.7780632750923</v>
      </c>
      <c r="T153" s="182">
        <f t="shared" si="92"/>
        <v>8590874.3662262969</v>
      </c>
      <c r="U153" s="195">
        <f t="shared" si="88"/>
        <v>121105.89085683679</v>
      </c>
      <c r="V153" s="183">
        <f t="shared" si="88"/>
        <v>48710.03449250519</v>
      </c>
      <c r="W153" s="184">
        <f t="shared" si="88"/>
        <v>-12799.208576099907</v>
      </c>
      <c r="Y153" s="182">
        <f t="shared" si="93"/>
        <v>8572508.4368857965</v>
      </c>
      <c r="Z153" s="195">
        <f t="shared" si="89"/>
        <v>110618.2035663368</v>
      </c>
      <c r="AA153" s="183">
        <f t="shared" si="89"/>
        <v>34876.435587505184</v>
      </c>
      <c r="AB153" s="184">
        <f t="shared" si="89"/>
        <v>-22458.823331099909</v>
      </c>
      <c r="AD153" s="182">
        <f t="shared" si="94"/>
        <v>8003239.3060699208</v>
      </c>
      <c r="AE153" s="184">
        <f t="shared" si="90"/>
        <v>-242280.63666203816</v>
      </c>
      <c r="AF153" s="184">
        <f t="shared" si="90"/>
        <v>-409915.47719624481</v>
      </c>
      <c r="AG153" s="184">
        <f t="shared" si="90"/>
        <v>-352615.24285234994</v>
      </c>
    </row>
    <row r="154" spans="13:33" x14ac:dyDescent="0.3">
      <c r="M154" s="222"/>
      <c r="O154" s="182">
        <f t="shared" si="96"/>
        <v>9285026.1244883556</v>
      </c>
      <c r="P154" s="195">
        <f t="shared" si="96"/>
        <v>148553.00657386941</v>
      </c>
      <c r="Q154" s="183">
        <f t="shared" si="96"/>
        <v>71135.694568394392</v>
      </c>
      <c r="R154" s="184">
        <f t="shared" si="96"/>
        <v>1184.4711075503283</v>
      </c>
      <c r="T154" s="182">
        <f t="shared" si="92"/>
        <v>9262729.973056294</v>
      </c>
      <c r="U154" s="195">
        <f t="shared" si="88"/>
        <v>133833.6338480569</v>
      </c>
      <c r="V154" s="183">
        <f t="shared" si="88"/>
        <v>53198.442560269395</v>
      </c>
      <c r="W154" s="184">
        <f t="shared" si="88"/>
        <v>-12738.515531824673</v>
      </c>
      <c r="Y154" s="182">
        <f t="shared" si="93"/>
        <v>9244364.0437157936</v>
      </c>
      <c r="Z154" s="195">
        <f t="shared" si="89"/>
        <v>123345.94655755692</v>
      </c>
      <c r="AA154" s="183">
        <f t="shared" si="89"/>
        <v>39364.843655269389</v>
      </c>
      <c r="AB154" s="184">
        <f t="shared" si="89"/>
        <v>-22398.130286824671</v>
      </c>
      <c r="AD154" s="182">
        <f t="shared" si="94"/>
        <v>8675094.9128999189</v>
      </c>
      <c r="AE154" s="184">
        <f t="shared" si="90"/>
        <v>-229552.89367081804</v>
      </c>
      <c r="AF154" s="184">
        <f t="shared" si="90"/>
        <v>-405427.06912848062</v>
      </c>
      <c r="AG154" s="184">
        <f t="shared" si="90"/>
        <v>-352554.54980807472</v>
      </c>
    </row>
    <row r="155" spans="13:33" x14ac:dyDescent="0.3">
      <c r="M155" s="111"/>
      <c r="N155" s="8"/>
      <c r="O155" s="194">
        <f t="shared" si="96"/>
        <v>9717340.1788814813</v>
      </c>
      <c r="P155" s="196">
        <f t="shared" si="96"/>
        <v>157430.58686022036</v>
      </c>
      <c r="Q155" s="193">
        <f t="shared" si="96"/>
        <v>74298.936423706589</v>
      </c>
      <c r="R155" s="197">
        <f t="shared" si="96"/>
        <v>1221.2785028665596</v>
      </c>
      <c r="T155" s="194">
        <f t="shared" si="92"/>
        <v>9695044.0274494179</v>
      </c>
      <c r="U155" s="196">
        <f t="shared" si="88"/>
        <v>142711.21413440787</v>
      </c>
      <c r="V155" s="193">
        <f t="shared" si="88"/>
        <v>56361.684415581592</v>
      </c>
      <c r="W155" s="197">
        <f t="shared" si="88"/>
        <v>-12701.70813650844</v>
      </c>
      <c r="Y155" s="194">
        <f t="shared" si="93"/>
        <v>9676678.0981089193</v>
      </c>
      <c r="Z155" s="196">
        <f t="shared" si="89"/>
        <v>132223.52684390786</v>
      </c>
      <c r="AA155" s="193">
        <f t="shared" si="89"/>
        <v>42528.085510581586</v>
      </c>
      <c r="AB155" s="197">
        <f t="shared" si="89"/>
        <v>-22361.32289150844</v>
      </c>
      <c r="AC155" s="8"/>
      <c r="AD155" s="194">
        <f t="shared" si="94"/>
        <v>9107408.9672930446</v>
      </c>
      <c r="AE155" s="197">
        <f t="shared" si="90"/>
        <v>-220675.3133844671</v>
      </c>
      <c r="AF155" s="197">
        <f t="shared" si="90"/>
        <v>-402263.82727316843</v>
      </c>
      <c r="AG155" s="197">
        <f t="shared" si="90"/>
        <v>-352517.74241275847</v>
      </c>
    </row>
    <row r="156" spans="13:33" x14ac:dyDescent="0.3">
      <c r="M156" s="237"/>
      <c r="N156" s="207"/>
      <c r="O156" s="182">
        <f>O116*O133</f>
        <v>1866082.5775045233</v>
      </c>
      <c r="P156" s="183">
        <f t="shared" ref="P156:R156" si="97">P116*P133</f>
        <v>28892.100178705386</v>
      </c>
      <c r="Q156" s="183">
        <f t="shared" si="97"/>
        <v>14674.649036677558</v>
      </c>
      <c r="R156" s="184">
        <f t="shared" si="97"/>
        <v>251.67872502701917</v>
      </c>
      <c r="T156" s="182">
        <f t="shared" si="92"/>
        <v>1843786.4260724608</v>
      </c>
      <c r="U156" s="183">
        <f t="shared" si="88"/>
        <v>14172.727452892887</v>
      </c>
      <c r="V156" s="184">
        <f t="shared" si="88"/>
        <v>-3262.6029714474425</v>
      </c>
      <c r="W156" s="184">
        <f t="shared" si="88"/>
        <v>-13671.307914347981</v>
      </c>
      <c r="Y156" s="182">
        <f t="shared" si="93"/>
        <v>1825420.4967319609</v>
      </c>
      <c r="Z156" s="183">
        <f t="shared" si="89"/>
        <v>3685.0401623928883</v>
      </c>
      <c r="AA156" s="184">
        <f t="shared" si="89"/>
        <v>-17096.201876447441</v>
      </c>
      <c r="AB156" s="184">
        <f t="shared" si="89"/>
        <v>-23330.92266934798</v>
      </c>
      <c r="AC156" s="207"/>
      <c r="AD156" s="182">
        <f t="shared" si="94"/>
        <v>1256151.3659160859</v>
      </c>
      <c r="AE156" s="184">
        <f t="shared" si="90"/>
        <v>-349213.80006598204</v>
      </c>
      <c r="AF156" s="184">
        <f t="shared" si="90"/>
        <v>-461888.11466019746</v>
      </c>
      <c r="AG156" s="184">
        <f t="shared" si="90"/>
        <v>-353487.34219059802</v>
      </c>
    </row>
    <row r="157" spans="13:33" ht="28.8" x14ac:dyDescent="0.3">
      <c r="M157" s="222" t="s">
        <v>896</v>
      </c>
      <c r="O157" s="182">
        <f t="shared" ref="O157:R159" si="98">O117*O134</f>
        <v>2089193.3825935847</v>
      </c>
      <c r="P157" s="183">
        <f t="shared" si="98"/>
        <v>32945.503782159751</v>
      </c>
      <c r="Q157" s="183">
        <f t="shared" si="98"/>
        <v>16165.832272735492</v>
      </c>
      <c r="R157" s="184">
        <f t="shared" si="98"/>
        <v>272.58135531913808</v>
      </c>
      <c r="T157" s="182">
        <f t="shared" si="92"/>
        <v>2066897.2311615222</v>
      </c>
      <c r="U157" s="183">
        <f t="shared" si="88"/>
        <v>18226.131056347251</v>
      </c>
      <c r="V157" s="184">
        <f t="shared" si="88"/>
        <v>-1771.4197353895088</v>
      </c>
      <c r="W157" s="184">
        <f t="shared" si="88"/>
        <v>-13650.405284055862</v>
      </c>
      <c r="Y157" s="182">
        <f t="shared" si="93"/>
        <v>2048531.3018210223</v>
      </c>
      <c r="Z157" s="183">
        <f t="shared" si="89"/>
        <v>7738.4437658472525</v>
      </c>
      <c r="AA157" s="184">
        <f t="shared" si="89"/>
        <v>-15605.018640389508</v>
      </c>
      <c r="AB157" s="184">
        <f t="shared" si="89"/>
        <v>-23310.020039055864</v>
      </c>
      <c r="AD157" s="182">
        <f t="shared" si="94"/>
        <v>1479262.1710051473</v>
      </c>
      <c r="AE157" s="184">
        <f t="shared" si="90"/>
        <v>-345160.39646252769</v>
      </c>
      <c r="AF157" s="184">
        <f t="shared" si="90"/>
        <v>-460396.93142413953</v>
      </c>
      <c r="AG157" s="184">
        <f t="shared" si="90"/>
        <v>-353466.43956030591</v>
      </c>
    </row>
    <row r="158" spans="13:33" x14ac:dyDescent="0.3">
      <c r="M158" s="222"/>
      <c r="O158" s="182">
        <f t="shared" si="98"/>
        <v>2252157.3323923205</v>
      </c>
      <c r="P158" s="183">
        <f t="shared" si="98"/>
        <v>36032.719619590782</v>
      </c>
      <c r="Q158" s="183">
        <f t="shared" si="98"/>
        <v>17254.531540250049</v>
      </c>
      <c r="R158" s="184">
        <f t="shared" si="98"/>
        <v>287.30293852816931</v>
      </c>
      <c r="T158" s="182">
        <f t="shared" si="92"/>
        <v>2229861.180960258</v>
      </c>
      <c r="U158" s="183">
        <f t="shared" si="88"/>
        <v>21313.346893778282</v>
      </c>
      <c r="V158" s="184">
        <f t="shared" si="88"/>
        <v>-682.72046787495128</v>
      </c>
      <c r="W158" s="184">
        <f t="shared" si="88"/>
        <v>-13635.68370084683</v>
      </c>
      <c r="Y158" s="182">
        <f t="shared" si="93"/>
        <v>2211495.2516197581</v>
      </c>
      <c r="Z158" s="183">
        <f t="shared" si="89"/>
        <v>10825.659603278284</v>
      </c>
      <c r="AA158" s="184">
        <f t="shared" si="89"/>
        <v>-14516.31937287495</v>
      </c>
      <c r="AB158" s="184">
        <f t="shared" si="89"/>
        <v>-23295.298455846831</v>
      </c>
      <c r="AD158" s="182">
        <f t="shared" si="94"/>
        <v>1642226.1208038831</v>
      </c>
      <c r="AE158" s="184">
        <f t="shared" si="90"/>
        <v>-342073.18062509666</v>
      </c>
      <c r="AF158" s="184">
        <f t="shared" si="90"/>
        <v>-459308.23215662496</v>
      </c>
      <c r="AG158" s="184">
        <f t="shared" si="90"/>
        <v>-353451.71797709685</v>
      </c>
    </row>
    <row r="159" spans="13:33" x14ac:dyDescent="0.3">
      <c r="M159" s="111"/>
      <c r="N159" s="8"/>
      <c r="O159" s="194">
        <f t="shared" si="98"/>
        <v>2357018.563200261</v>
      </c>
      <c r="P159" s="193">
        <f t="shared" si="98"/>
        <v>38186.047705881821</v>
      </c>
      <c r="Q159" s="193">
        <f t="shared" si="98"/>
        <v>18021.801146501613</v>
      </c>
      <c r="R159" s="197">
        <f t="shared" si="98"/>
        <v>296.2308665852679</v>
      </c>
      <c r="T159" s="194">
        <f t="shared" si="92"/>
        <v>2334722.4117681985</v>
      </c>
      <c r="U159" s="193">
        <f t="shared" si="88"/>
        <v>23466.674980069321</v>
      </c>
      <c r="V159" s="197">
        <f t="shared" si="88"/>
        <v>84.549138376612973</v>
      </c>
      <c r="W159" s="197">
        <f t="shared" si="88"/>
        <v>-13626.755772789733</v>
      </c>
      <c r="Y159" s="194">
        <f t="shared" si="93"/>
        <v>2316356.4824276986</v>
      </c>
      <c r="Z159" s="193">
        <f t="shared" si="89"/>
        <v>12978.987689569323</v>
      </c>
      <c r="AA159" s="197">
        <f t="shared" si="89"/>
        <v>-13749.049766623386</v>
      </c>
      <c r="AB159" s="197">
        <f t="shared" si="89"/>
        <v>-23286.370527789732</v>
      </c>
      <c r="AC159" s="8"/>
      <c r="AD159" s="194">
        <f t="shared" si="94"/>
        <v>1747087.3516118235</v>
      </c>
      <c r="AE159" s="197">
        <f t="shared" si="90"/>
        <v>-339919.85253880563</v>
      </c>
      <c r="AF159" s="197">
        <f t="shared" si="90"/>
        <v>-458540.9625503734</v>
      </c>
      <c r="AG159" s="197">
        <f t="shared" si="90"/>
        <v>-353442.79004903976</v>
      </c>
    </row>
    <row r="160" spans="13:33" x14ac:dyDescent="0.3">
      <c r="M160" s="237"/>
      <c r="N160" s="207"/>
      <c r="O160" s="195">
        <f>O120*O133</f>
        <v>238492.14490324419</v>
      </c>
      <c r="P160" s="184">
        <f t="shared" ref="P160:R161" si="99">P120*P133</f>
        <v>3692.5155539437269</v>
      </c>
      <c r="Q160" s="184">
        <f t="shared" si="99"/>
        <v>1875.4735544124512</v>
      </c>
      <c r="R160" s="184">
        <f t="shared" si="99"/>
        <v>32.165457028421415</v>
      </c>
      <c r="T160" s="195">
        <f t="shared" si="92"/>
        <v>216195.99347118169</v>
      </c>
      <c r="U160" s="184">
        <f t="shared" si="88"/>
        <v>-11026.857171868773</v>
      </c>
      <c r="V160" s="184">
        <f t="shared" si="88"/>
        <v>-16061.77845371255</v>
      </c>
      <c r="W160" s="184">
        <f t="shared" si="88"/>
        <v>-13890.821182346579</v>
      </c>
      <c r="Y160" s="195">
        <f t="shared" si="93"/>
        <v>197830.06413068168</v>
      </c>
      <c r="Z160" s="184">
        <f t="shared" si="89"/>
        <v>-21514.544462368773</v>
      </c>
      <c r="AA160" s="184">
        <f t="shared" si="89"/>
        <v>-29895.377358712547</v>
      </c>
      <c r="AB160" s="184">
        <f t="shared" si="89"/>
        <v>-23550.435937346578</v>
      </c>
      <c r="AC160" s="207"/>
      <c r="AD160" s="184">
        <f t="shared" si="94"/>
        <v>-371439.06668519322</v>
      </c>
      <c r="AE160" s="184">
        <f t="shared" si="90"/>
        <v>-374413.3846907437</v>
      </c>
      <c r="AF160" s="184">
        <f t="shared" si="90"/>
        <v>-474687.29014246259</v>
      </c>
      <c r="AG160" s="184">
        <f t="shared" si="90"/>
        <v>-353706.8554585966</v>
      </c>
    </row>
    <row r="161" spans="13:33" ht="28.8" x14ac:dyDescent="0.3">
      <c r="M161" s="222" t="s">
        <v>897</v>
      </c>
      <c r="O161" s="195">
        <f>O121*O134</f>
        <v>267006.51779232442</v>
      </c>
      <c r="P161" s="184">
        <f t="shared" si="99"/>
        <v>4210.5552865900308</v>
      </c>
      <c r="Q161" s="184">
        <f t="shared" si="99"/>
        <v>2066.0521990546417</v>
      </c>
      <c r="R161" s="184">
        <f t="shared" si="99"/>
        <v>34.836889253652011</v>
      </c>
      <c r="T161" s="195">
        <f t="shared" si="92"/>
        <v>244710.36636026192</v>
      </c>
      <c r="U161" s="184">
        <f t="shared" si="88"/>
        <v>-10508.817439222468</v>
      </c>
      <c r="V161" s="184">
        <f t="shared" si="88"/>
        <v>-15871.199809070358</v>
      </c>
      <c r="W161" s="184">
        <f t="shared" si="88"/>
        <v>-13888.149750121347</v>
      </c>
      <c r="Y161" s="195">
        <f t="shared" si="93"/>
        <v>226344.43701976191</v>
      </c>
      <c r="Z161" s="184">
        <f t="shared" si="89"/>
        <v>-20996.504729722466</v>
      </c>
      <c r="AA161" s="184">
        <f t="shared" si="89"/>
        <v>-29704.798714070359</v>
      </c>
      <c r="AB161" s="184">
        <f t="shared" si="89"/>
        <v>-23547.764505121348</v>
      </c>
      <c r="AD161" s="184">
        <f t="shared" si="94"/>
        <v>-342924.69379611302</v>
      </c>
      <c r="AE161" s="184">
        <f t="shared" si="90"/>
        <v>-373895.34495809744</v>
      </c>
      <c r="AF161" s="184">
        <f t="shared" si="90"/>
        <v>-474496.71149782039</v>
      </c>
      <c r="AG161" s="184">
        <f t="shared" si="90"/>
        <v>-353704.1840263714</v>
      </c>
    </row>
    <row r="162" spans="13:33" x14ac:dyDescent="0.3">
      <c r="M162" s="222"/>
      <c r="O162" s="195">
        <f t="shared" ref="O162:R163" si="100">O122*O135</f>
        <v>287833.90367434651</v>
      </c>
      <c r="P162" s="184">
        <f t="shared" si="100"/>
        <v>4605.1127063548092</v>
      </c>
      <c r="Q162" s="184">
        <f t="shared" si="100"/>
        <v>2205.1919277001753</v>
      </c>
      <c r="R162" s="184">
        <f t="shared" si="100"/>
        <v>36.718361166105439</v>
      </c>
      <c r="T162" s="195">
        <f t="shared" si="92"/>
        <v>265537.75224228401</v>
      </c>
      <c r="U162" s="184">
        <f t="shared" si="88"/>
        <v>-10114.260019457692</v>
      </c>
      <c r="V162" s="184">
        <f t="shared" si="88"/>
        <v>-15732.060080424824</v>
      </c>
      <c r="W162" s="184">
        <f t="shared" si="88"/>
        <v>-13886.268278208894</v>
      </c>
      <c r="Y162" s="195">
        <f t="shared" si="93"/>
        <v>247171.82290178401</v>
      </c>
      <c r="Z162" s="184">
        <f t="shared" si="89"/>
        <v>-20601.94730995769</v>
      </c>
      <c r="AA162" s="184">
        <f t="shared" si="89"/>
        <v>-29565.658985424823</v>
      </c>
      <c r="AB162" s="184">
        <f t="shared" si="89"/>
        <v>-23545.883033208895</v>
      </c>
      <c r="AD162" s="184">
        <f t="shared" si="94"/>
        <v>-322097.30791409092</v>
      </c>
      <c r="AE162" s="184">
        <f t="shared" si="90"/>
        <v>-373500.78753833263</v>
      </c>
      <c r="AF162" s="184">
        <f t="shared" si="90"/>
        <v>-474357.57176917483</v>
      </c>
      <c r="AG162" s="184">
        <f t="shared" si="90"/>
        <v>-353702.3025544589</v>
      </c>
    </row>
    <row r="163" spans="13:33" x14ac:dyDescent="0.3">
      <c r="M163" s="111"/>
      <c r="N163" s="8"/>
      <c r="O163" s="196">
        <f t="shared" si="100"/>
        <v>301235.55060790473</v>
      </c>
      <c r="P163" s="197">
        <f t="shared" si="100"/>
        <v>4880.3158726941638</v>
      </c>
      <c r="Q163" s="197">
        <f t="shared" si="100"/>
        <v>2303.2517758118861</v>
      </c>
      <c r="R163" s="197">
        <f t="shared" si="100"/>
        <v>37.859382864473517</v>
      </c>
      <c r="T163" s="196">
        <f t="shared" si="92"/>
        <v>278939.39917584223</v>
      </c>
      <c r="U163" s="197">
        <f t="shared" si="88"/>
        <v>-9839.0568531183362</v>
      </c>
      <c r="V163" s="197">
        <f t="shared" si="88"/>
        <v>-15634.000232313114</v>
      </c>
      <c r="W163" s="197">
        <f t="shared" si="88"/>
        <v>-13885.127256510526</v>
      </c>
      <c r="Y163" s="196">
        <f t="shared" si="93"/>
        <v>260573.46983534223</v>
      </c>
      <c r="Z163" s="197">
        <f t="shared" si="89"/>
        <v>-20326.744143618336</v>
      </c>
      <c r="AA163" s="197">
        <f t="shared" si="89"/>
        <v>-29467.599137313115</v>
      </c>
      <c r="AB163" s="197">
        <f t="shared" si="89"/>
        <v>-23544.742011510527</v>
      </c>
      <c r="AC163" s="8"/>
      <c r="AD163" s="197">
        <f t="shared" si="94"/>
        <v>-308695.6609805327</v>
      </c>
      <c r="AE163" s="197">
        <f t="shared" si="90"/>
        <v>-373225.58437199326</v>
      </c>
      <c r="AF163" s="197">
        <f t="shared" si="90"/>
        <v>-474259.51192106312</v>
      </c>
      <c r="AG163" s="197">
        <f t="shared" si="90"/>
        <v>-353701.16153276054</v>
      </c>
    </row>
    <row r="164" spans="13:33" x14ac:dyDescent="0.3">
      <c r="M164" s="237"/>
      <c r="N164" s="207"/>
      <c r="O164" s="183">
        <f>O124*O133</f>
        <v>17373.599959838975</v>
      </c>
      <c r="P164" s="184">
        <f t="shared" ref="P164:R164" si="101">P124*P133</f>
        <v>268.99119929391389</v>
      </c>
      <c r="Q164" s="184">
        <f t="shared" si="101"/>
        <v>136.62390131481433</v>
      </c>
      <c r="R164" s="184">
        <f t="shared" si="101"/>
        <v>2.3431789888254007</v>
      </c>
      <c r="T164" s="184">
        <f t="shared" si="92"/>
        <v>-4922.5514722235239</v>
      </c>
      <c r="U164" s="184">
        <f t="shared" si="92"/>
        <v>-14450.381526518586</v>
      </c>
      <c r="V164" s="184">
        <f t="shared" si="92"/>
        <v>-17800.628106810185</v>
      </c>
      <c r="W164" s="184">
        <f t="shared" si="92"/>
        <v>-13920.643460386174</v>
      </c>
      <c r="Y164" s="184">
        <f t="shared" si="93"/>
        <v>-23288.480812723523</v>
      </c>
      <c r="Z164" s="184">
        <f t="shared" si="93"/>
        <v>-24938.068817018586</v>
      </c>
      <c r="AA164" s="184">
        <f t="shared" si="93"/>
        <v>-31634.227011810184</v>
      </c>
      <c r="AB164" s="184">
        <f t="shared" si="93"/>
        <v>-23580.258215386177</v>
      </c>
      <c r="AC164" s="207"/>
      <c r="AD164" s="234"/>
      <c r="AE164" s="234"/>
      <c r="AF164" s="234"/>
      <c r="AG164" s="234"/>
    </row>
    <row r="165" spans="13:33" ht="28.8" x14ac:dyDescent="0.3">
      <c r="M165" s="222" t="s">
        <v>898</v>
      </c>
      <c r="O165" s="183">
        <f t="shared" ref="O165:R167" si="102">O125*O134</f>
        <v>19450.80593189118</v>
      </c>
      <c r="P165" s="184">
        <f t="shared" si="102"/>
        <v>306.7291930628499</v>
      </c>
      <c r="Q165" s="184">
        <f t="shared" si="102"/>
        <v>150.50711383841761</v>
      </c>
      <c r="R165" s="184">
        <f t="shared" si="102"/>
        <v>2.5377866343720008</v>
      </c>
      <c r="T165" s="184">
        <f t="shared" si="92"/>
        <v>-2845.3455001713191</v>
      </c>
      <c r="U165" s="184">
        <f t="shared" si="92"/>
        <v>-14412.643532749649</v>
      </c>
      <c r="V165" s="184">
        <f t="shared" si="92"/>
        <v>-17786.744894286581</v>
      </c>
      <c r="W165" s="184">
        <f t="shared" si="92"/>
        <v>-13920.448852740628</v>
      </c>
      <c r="Y165" s="184">
        <f t="shared" si="93"/>
        <v>-21211.274840671318</v>
      </c>
      <c r="Z165" s="184">
        <f t="shared" si="93"/>
        <v>-24900.330823249649</v>
      </c>
      <c r="AA165" s="184">
        <f t="shared" si="93"/>
        <v>-31620.34379928658</v>
      </c>
      <c r="AB165" s="184">
        <f t="shared" si="93"/>
        <v>-23580.063607740627</v>
      </c>
      <c r="AD165" s="184">
        <f t="shared" si="94"/>
        <v>-590480.40565654624</v>
      </c>
      <c r="AE165" s="184">
        <f t="shared" si="94"/>
        <v>-377799.17105162458</v>
      </c>
      <c r="AF165" s="184">
        <f t="shared" si="94"/>
        <v>-476412.25658303662</v>
      </c>
      <c r="AG165" s="184">
        <f t="shared" si="94"/>
        <v>-353736.48312899069</v>
      </c>
    </row>
    <row r="166" spans="13:33" x14ac:dyDescent="0.3">
      <c r="M166" s="222"/>
      <c r="O166" s="183">
        <f t="shared" si="102"/>
        <v>20968.032717998751</v>
      </c>
      <c r="P166" s="184">
        <f t="shared" si="102"/>
        <v>335.47178655564835</v>
      </c>
      <c r="Q166" s="184">
        <f t="shared" si="102"/>
        <v>160.64312056093993</v>
      </c>
      <c r="R166" s="184">
        <f t="shared" si="102"/>
        <v>2.6748475021666209</v>
      </c>
      <c r="T166" s="184">
        <f t="shared" si="92"/>
        <v>-1328.1187140637485</v>
      </c>
      <c r="U166" s="184">
        <f t="shared" si="92"/>
        <v>-14383.900939256851</v>
      </c>
      <c r="V166" s="184">
        <f t="shared" si="92"/>
        <v>-17776.60888756406</v>
      </c>
      <c r="W166" s="184">
        <f t="shared" si="92"/>
        <v>-13920.311791872833</v>
      </c>
      <c r="Y166" s="184">
        <f t="shared" si="93"/>
        <v>-19694.048054563747</v>
      </c>
      <c r="Z166" s="184">
        <f t="shared" si="93"/>
        <v>-24871.58822975685</v>
      </c>
      <c r="AA166" s="184">
        <f t="shared" si="93"/>
        <v>-31610.207792564059</v>
      </c>
      <c r="AB166" s="184">
        <f t="shared" si="93"/>
        <v>-23579.926546872834</v>
      </c>
      <c r="AD166" s="184">
        <f t="shared" si="94"/>
        <v>-588963.17887043871</v>
      </c>
      <c r="AE166" s="184">
        <f t="shared" si="94"/>
        <v>-377770.42845813179</v>
      </c>
      <c r="AF166" s="184">
        <f t="shared" si="94"/>
        <v>-476402.1205763141</v>
      </c>
      <c r="AG166" s="184">
        <f t="shared" si="94"/>
        <v>-353736.34606812289</v>
      </c>
    </row>
    <row r="167" spans="13:33" x14ac:dyDescent="0.3">
      <c r="M167" s="111"/>
      <c r="N167" s="8"/>
      <c r="O167" s="193">
        <f t="shared" si="102"/>
        <v>21944.31163368842</v>
      </c>
      <c r="P167" s="197">
        <f t="shared" si="102"/>
        <v>355.51969933533644</v>
      </c>
      <c r="Q167" s="197">
        <f t="shared" si="102"/>
        <v>167.78655320483938</v>
      </c>
      <c r="R167" s="197">
        <f t="shared" si="102"/>
        <v>2.7579682881404541</v>
      </c>
      <c r="T167" s="197">
        <f t="shared" si="92"/>
        <v>-351.83979837407969</v>
      </c>
      <c r="U167" s="197">
        <f t="shared" si="92"/>
        <v>-14363.853026477163</v>
      </c>
      <c r="V167" s="197">
        <f t="shared" si="92"/>
        <v>-17769.465454920162</v>
      </c>
      <c r="W167" s="197">
        <f t="shared" si="92"/>
        <v>-13920.228671086859</v>
      </c>
      <c r="Y167" s="197">
        <f t="shared" si="93"/>
        <v>-18717.769138874079</v>
      </c>
      <c r="Z167" s="197">
        <f t="shared" si="93"/>
        <v>-24851.540316977163</v>
      </c>
      <c r="AA167" s="197">
        <f t="shared" si="93"/>
        <v>-31603.064359920161</v>
      </c>
      <c r="AB167" s="197">
        <f t="shared" si="93"/>
        <v>-23579.84342608686</v>
      </c>
      <c r="AC167" s="8"/>
      <c r="AD167" s="197">
        <f t="shared" si="94"/>
        <v>-587986.89995474904</v>
      </c>
      <c r="AE167" s="197">
        <f t="shared" si="94"/>
        <v>-377750.38054535212</v>
      </c>
      <c r="AF167" s="197">
        <f t="shared" si="94"/>
        <v>-476394.9771436702</v>
      </c>
      <c r="AG167" s="197">
        <f t="shared" si="94"/>
        <v>-353736.26294733689</v>
      </c>
    </row>
    <row r="168" spans="13:33" x14ac:dyDescent="0.3">
      <c r="M168" s="237"/>
      <c r="N168" s="207"/>
      <c r="O168" s="184">
        <f>O128*O133</f>
        <v>2369.1272672507698</v>
      </c>
      <c r="P168" s="184">
        <f t="shared" ref="P168:R168" si="103">P128*P133</f>
        <v>36.680618085533709</v>
      </c>
      <c r="Q168" s="184">
        <f t="shared" si="103"/>
        <v>18.63053199747468</v>
      </c>
      <c r="R168" s="184">
        <f t="shared" si="103"/>
        <v>0.3195244075671001</v>
      </c>
      <c r="T168" s="184">
        <f t="shared" si="92"/>
        <v>-19927.02416481173</v>
      </c>
      <c r="U168" s="184">
        <f t="shared" si="92"/>
        <v>-14682.692107726967</v>
      </c>
      <c r="V168" s="184">
        <f t="shared" si="92"/>
        <v>-17918.621476127526</v>
      </c>
      <c r="W168" s="184">
        <f t="shared" si="92"/>
        <v>-13922.667114967433</v>
      </c>
      <c r="Y168" s="234"/>
      <c r="Z168" s="234"/>
      <c r="AA168" s="234"/>
      <c r="AB168" s="234"/>
      <c r="AC168" s="207"/>
      <c r="AD168" s="234"/>
      <c r="AE168" s="234"/>
      <c r="AF168" s="234"/>
      <c r="AG168" s="234"/>
    </row>
    <row r="169" spans="13:33" x14ac:dyDescent="0.3">
      <c r="M169" s="222" t="s">
        <v>825</v>
      </c>
      <c r="O169" s="184">
        <f t="shared" ref="O169:R171" si="104">O129*O134</f>
        <v>2652.3826270760696</v>
      </c>
      <c r="P169" s="184">
        <f t="shared" si="104"/>
        <v>41.826708144934081</v>
      </c>
      <c r="Q169" s="184">
        <f t="shared" si="104"/>
        <v>20.5236973416024</v>
      </c>
      <c r="R169" s="184">
        <f t="shared" si="104"/>
        <v>0.3460618137780001</v>
      </c>
      <c r="T169" s="184">
        <f t="shared" si="92"/>
        <v>-19643.76880498643</v>
      </c>
      <c r="U169" s="184">
        <f t="shared" si="92"/>
        <v>-14677.546017667566</v>
      </c>
      <c r="V169" s="184">
        <f t="shared" si="92"/>
        <v>-17916.728310783397</v>
      </c>
      <c r="W169" s="184">
        <f t="shared" si="92"/>
        <v>-13922.640577561222</v>
      </c>
      <c r="Y169" s="184">
        <f t="shared" si="93"/>
        <v>-38009.698145486429</v>
      </c>
      <c r="Z169" s="184">
        <f t="shared" si="93"/>
        <v>-25165.233308167564</v>
      </c>
      <c r="AA169" s="184">
        <f t="shared" si="93"/>
        <v>-31750.327215783396</v>
      </c>
      <c r="AB169" s="184">
        <f t="shared" si="93"/>
        <v>-23582.255332561221</v>
      </c>
      <c r="AD169" s="184">
        <f t="shared" si="94"/>
        <v>-607278.82896136132</v>
      </c>
      <c r="AE169" s="184">
        <f t="shared" si="94"/>
        <v>-378064.07353654254</v>
      </c>
      <c r="AF169" s="184">
        <f t="shared" si="94"/>
        <v>-476542.2399995334</v>
      </c>
      <c r="AG169" s="184">
        <f t="shared" si="94"/>
        <v>-353738.67485381127</v>
      </c>
    </row>
    <row r="170" spans="13:33" x14ac:dyDescent="0.3">
      <c r="M170" s="221" t="s">
        <v>900</v>
      </c>
      <c r="O170" s="184">
        <f t="shared" si="104"/>
        <v>2859.2771888180114</v>
      </c>
      <c r="P170" s="184">
        <f t="shared" si="104"/>
        <v>45.746152712133863</v>
      </c>
      <c r="Q170" s="184">
        <f t="shared" si="104"/>
        <v>21.905880076491808</v>
      </c>
      <c r="R170" s="184">
        <f t="shared" si="104"/>
        <v>0.36475193211363011</v>
      </c>
      <c r="T170" s="184">
        <f t="shared" si="92"/>
        <v>-19436.874243244489</v>
      </c>
      <c r="U170" s="184">
        <f t="shared" si="92"/>
        <v>-14673.626573100366</v>
      </c>
      <c r="V170" s="184">
        <f t="shared" si="92"/>
        <v>-17915.34612804851</v>
      </c>
      <c r="W170" s="184">
        <f t="shared" si="92"/>
        <v>-13922.621887442887</v>
      </c>
      <c r="Y170" s="184">
        <f t="shared" si="93"/>
        <v>-37802.803583744484</v>
      </c>
      <c r="Z170" s="184">
        <f t="shared" si="93"/>
        <v>-25161.313863600364</v>
      </c>
      <c r="AA170" s="184">
        <f t="shared" si="93"/>
        <v>-31748.945033048509</v>
      </c>
      <c r="AB170" s="184">
        <f t="shared" si="93"/>
        <v>-23582.236642442887</v>
      </c>
      <c r="AD170" s="184">
        <f t="shared" si="94"/>
        <v>-607071.93439961947</v>
      </c>
      <c r="AE170" s="184">
        <f t="shared" si="94"/>
        <v>-378060.1540919753</v>
      </c>
      <c r="AF170" s="184">
        <f t="shared" si="94"/>
        <v>-476540.8578167985</v>
      </c>
      <c r="AG170" s="184">
        <f t="shared" si="94"/>
        <v>-353738.65616369294</v>
      </c>
    </row>
    <row r="171" spans="13:33" x14ac:dyDescent="0.3">
      <c r="M171" s="8"/>
      <c r="N171" s="8"/>
      <c r="O171" s="184">
        <f t="shared" si="104"/>
        <v>2992.4061318666027</v>
      </c>
      <c r="P171" s="184">
        <f t="shared" si="104"/>
        <v>48.479959000273148</v>
      </c>
      <c r="Q171" s="184">
        <f t="shared" si="104"/>
        <v>22.879984527932642</v>
      </c>
      <c r="R171" s="184">
        <f t="shared" si="104"/>
        <v>0.37608658474642559</v>
      </c>
      <c r="T171" s="184">
        <f t="shared" si="92"/>
        <v>-19303.745300195897</v>
      </c>
      <c r="U171" s="184">
        <f t="shared" si="92"/>
        <v>-14670.892766812227</v>
      </c>
      <c r="V171" s="184">
        <f t="shared" si="92"/>
        <v>-17914.372023597069</v>
      </c>
      <c r="W171" s="184">
        <f t="shared" si="92"/>
        <v>-13922.610552790253</v>
      </c>
      <c r="Y171" s="184">
        <f t="shared" si="93"/>
        <v>-37669.674640695899</v>
      </c>
      <c r="Z171" s="184">
        <f t="shared" si="93"/>
        <v>-25158.580057312225</v>
      </c>
      <c r="AA171" s="184">
        <f t="shared" si="93"/>
        <v>-31747.970928597068</v>
      </c>
      <c r="AB171" s="184">
        <f t="shared" si="93"/>
        <v>-23582.225307790253</v>
      </c>
      <c r="AD171" s="184">
        <f t="shared" si="94"/>
        <v>-606938.80545657082</v>
      </c>
      <c r="AE171" s="184">
        <f t="shared" si="94"/>
        <v>-378057.4202856872</v>
      </c>
      <c r="AF171" s="184">
        <f t="shared" si="94"/>
        <v>-476539.88371234707</v>
      </c>
      <c r="AG171" s="184">
        <f t="shared" si="94"/>
        <v>-353738.64482904028</v>
      </c>
    </row>
    <row r="174" spans="13:33" x14ac:dyDescent="0.3">
      <c r="M174" s="221" t="s">
        <v>856</v>
      </c>
      <c r="T174" s="221" t="s">
        <v>944</v>
      </c>
      <c r="Y174" s="221" t="s">
        <v>943</v>
      </c>
      <c r="AD174" s="221" t="s">
        <v>945</v>
      </c>
    </row>
    <row r="175" spans="13:33" x14ac:dyDescent="0.3">
      <c r="M175" s="176" t="s">
        <v>821</v>
      </c>
      <c r="O175" s="188" t="s">
        <v>826</v>
      </c>
      <c r="P175" s="188" t="s">
        <v>827</v>
      </c>
      <c r="Q175" s="188" t="s">
        <v>828</v>
      </c>
      <c r="R175" s="188" t="s">
        <v>829</v>
      </c>
      <c r="T175" s="170">
        <v>22296.151432062499</v>
      </c>
      <c r="U175" s="170">
        <v>14719.3727258125</v>
      </c>
      <c r="V175" s="170">
        <v>17937.252008125</v>
      </c>
      <c r="W175" s="170">
        <v>13922.986639375</v>
      </c>
      <c r="X175" s="8"/>
      <c r="Y175" s="170">
        <v>40662.080772562498</v>
      </c>
      <c r="Z175" s="170">
        <v>25207.060016312498</v>
      </c>
      <c r="AA175" s="170">
        <v>31770.850913124999</v>
      </c>
      <c r="AB175" s="170">
        <v>23582.601394375</v>
      </c>
      <c r="AC175" s="8"/>
      <c r="AD175" s="170">
        <f>Y175*15</f>
        <v>609931.21158843744</v>
      </c>
      <c r="AE175" s="170">
        <f>Z175*15</f>
        <v>378105.90024468745</v>
      </c>
      <c r="AF175" s="170">
        <f>AA175*15</f>
        <v>476562.76369687502</v>
      </c>
      <c r="AG175" s="170">
        <f>AB175*15</f>
        <v>353739.02091562503</v>
      </c>
    </row>
    <row r="176" spans="13:33" x14ac:dyDescent="0.3">
      <c r="M176" s="225"/>
      <c r="O176" s="182">
        <f>O108*(O133+O137)</f>
        <v>808461196.50121498</v>
      </c>
      <c r="P176" s="182">
        <f t="shared" ref="P176:R176" si="105">P108*(P133+P137)</f>
        <v>13374696.987802904</v>
      </c>
      <c r="Q176" s="182">
        <f t="shared" si="105"/>
        <v>24829287.541241564</v>
      </c>
      <c r="R176" s="182">
        <f t="shared" si="105"/>
        <v>3652774.5946057006</v>
      </c>
      <c r="T176" s="182">
        <f>O176-T$147</f>
        <v>808438900.34978294</v>
      </c>
      <c r="U176" s="182">
        <f t="shared" ref="U176:W191" si="106">P176-U$147</f>
        <v>13359977.615077091</v>
      </c>
      <c r="V176" s="182">
        <f t="shared" si="106"/>
        <v>24811350.289233439</v>
      </c>
      <c r="W176" s="182">
        <f t="shared" si="106"/>
        <v>3638851.6079663257</v>
      </c>
      <c r="X176" s="207"/>
      <c r="Y176" s="182">
        <f>O176-Y$175</f>
        <v>808420534.42044246</v>
      </c>
      <c r="Z176" s="182">
        <f t="shared" ref="Z176:AB191" si="107">P176-Z$175</f>
        <v>13349489.927786592</v>
      </c>
      <c r="AA176" s="182">
        <f t="shared" si="107"/>
        <v>24797516.690328438</v>
      </c>
      <c r="AB176" s="182">
        <f t="shared" si="107"/>
        <v>3629191.9932113257</v>
      </c>
      <c r="AC176" s="207"/>
      <c r="AD176" s="182">
        <f>O176-AD$175</f>
        <v>807851265.2896266</v>
      </c>
      <c r="AE176" s="182">
        <f t="shared" ref="AE176:AG191" si="108">P176-AE$175</f>
        <v>12996591.087558217</v>
      </c>
      <c r="AF176" s="182">
        <f t="shared" si="108"/>
        <v>24352724.777544688</v>
      </c>
      <c r="AG176" s="182">
        <f t="shared" si="108"/>
        <v>3299035.5736900754</v>
      </c>
    </row>
    <row r="177" spans="13:33" x14ac:dyDescent="0.3">
      <c r="M177" s="222" t="s">
        <v>824</v>
      </c>
      <c r="O177" s="182">
        <f t="shared" ref="O177:R179" si="109">O109*(O134+O138)</f>
        <v>904311956.22949004</v>
      </c>
      <c r="P177" s="182">
        <f t="shared" si="109"/>
        <v>15196907.919111362</v>
      </c>
      <c r="Q177" s="182">
        <f t="shared" si="109"/>
        <v>26877797.217200797</v>
      </c>
      <c r="R177" s="182">
        <f t="shared" si="109"/>
        <v>3991218.707926</v>
      </c>
      <c r="T177" s="182">
        <f>O177-T$147</f>
        <v>904289660.078058</v>
      </c>
      <c r="U177" s="182">
        <f t="shared" si="106"/>
        <v>15182188.546385549</v>
      </c>
      <c r="V177" s="182">
        <f t="shared" si="106"/>
        <v>26859859.965192672</v>
      </c>
      <c r="W177" s="182">
        <f t="shared" si="106"/>
        <v>3977295.7212866251</v>
      </c>
      <c r="Y177" s="182">
        <f>O177-Y$175</f>
        <v>904271294.14871752</v>
      </c>
      <c r="Z177" s="182">
        <f t="shared" si="107"/>
        <v>15171700.85909505</v>
      </c>
      <c r="AA177" s="182">
        <f t="shared" si="107"/>
        <v>26846026.366287671</v>
      </c>
      <c r="AB177" s="182">
        <f t="shared" si="107"/>
        <v>3967636.1065316251</v>
      </c>
      <c r="AC177" s="101"/>
      <c r="AD177" s="182">
        <f>O177-AD$175</f>
        <v>903702025.01790166</v>
      </c>
      <c r="AE177" s="182">
        <f t="shared" si="108"/>
        <v>14818802.018866675</v>
      </c>
      <c r="AF177" s="182">
        <f t="shared" si="108"/>
        <v>26401234.453503922</v>
      </c>
      <c r="AG177" s="182">
        <f t="shared" si="108"/>
        <v>3637479.6870103749</v>
      </c>
    </row>
    <row r="178" spans="13:33" x14ac:dyDescent="0.3">
      <c r="M178" s="222" t="s">
        <v>899</v>
      </c>
      <c r="O178" s="182">
        <f t="shared" si="109"/>
        <v>974134037.73761857</v>
      </c>
      <c r="P178" s="182">
        <f t="shared" si="109"/>
        <v>16574528.519159388</v>
      </c>
      <c r="Q178" s="182">
        <f t="shared" si="109"/>
        <v>28298541.990732271</v>
      </c>
      <c r="R178" s="182">
        <f t="shared" si="109"/>
        <v>4234451.1676062103</v>
      </c>
      <c r="T178" s="182">
        <f t="shared" ref="T178:W193" si="110">O178-T$147</f>
        <v>974111741.58618653</v>
      </c>
      <c r="U178" s="182">
        <f t="shared" si="106"/>
        <v>16559809.146433575</v>
      </c>
      <c r="V178" s="182">
        <f t="shared" si="106"/>
        <v>28280604.738724146</v>
      </c>
      <c r="W178" s="182">
        <f t="shared" si="106"/>
        <v>4220528.1809668355</v>
      </c>
      <c r="Y178" s="182">
        <f t="shared" ref="Y178:AB199" si="111">O178-Y$175</f>
        <v>974093375.65684605</v>
      </c>
      <c r="Z178" s="182">
        <f t="shared" si="107"/>
        <v>16549321.459143076</v>
      </c>
      <c r="AA178" s="182">
        <f t="shared" si="107"/>
        <v>28266771.139819145</v>
      </c>
      <c r="AB178" s="182">
        <f t="shared" si="107"/>
        <v>4210868.5662118355</v>
      </c>
      <c r="AC178" s="101"/>
      <c r="AD178" s="182">
        <f t="shared" ref="AD178:AG199" si="112">O178-AD$175</f>
        <v>973524106.52603018</v>
      </c>
      <c r="AE178" s="182">
        <f t="shared" si="108"/>
        <v>16196422.618914701</v>
      </c>
      <c r="AF178" s="182">
        <f t="shared" si="108"/>
        <v>27821979.227035396</v>
      </c>
      <c r="AG178" s="182">
        <f t="shared" si="108"/>
        <v>3880712.1466905852</v>
      </c>
    </row>
    <row r="179" spans="13:33" x14ac:dyDescent="0.3">
      <c r="M179" s="111"/>
      <c r="N179" s="8"/>
      <c r="O179" s="194">
        <f t="shared" si="109"/>
        <v>1018823096.9653814</v>
      </c>
      <c r="P179" s="194">
        <f t="shared" si="109"/>
        <v>17522727.941794816</v>
      </c>
      <c r="Q179" s="194">
        <f t="shared" si="109"/>
        <v>29132413.732338779</v>
      </c>
      <c r="R179" s="194">
        <f t="shared" si="109"/>
        <v>4395376.0744433757</v>
      </c>
      <c r="T179" s="194">
        <f t="shared" si="110"/>
        <v>1018800800.8139493</v>
      </c>
      <c r="U179" s="194">
        <f t="shared" si="106"/>
        <v>17508008.569069006</v>
      </c>
      <c r="V179" s="194">
        <f t="shared" si="106"/>
        <v>29114476.480330653</v>
      </c>
      <c r="W179" s="194">
        <f t="shared" si="106"/>
        <v>4381453.0878040008</v>
      </c>
      <c r="Y179" s="194">
        <f t="shared" si="111"/>
        <v>1018782434.8846089</v>
      </c>
      <c r="Z179" s="194">
        <f t="shared" si="107"/>
        <v>17497520.881778505</v>
      </c>
      <c r="AA179" s="194">
        <f t="shared" si="107"/>
        <v>29100642.881425653</v>
      </c>
      <c r="AB179" s="194">
        <f t="shared" si="107"/>
        <v>4371793.4730490008</v>
      </c>
      <c r="AC179" s="208"/>
      <c r="AD179" s="194">
        <f t="shared" si="112"/>
        <v>1018213165.753793</v>
      </c>
      <c r="AE179" s="194">
        <f t="shared" si="108"/>
        <v>17144622.04155013</v>
      </c>
      <c r="AF179" s="194">
        <f t="shared" si="108"/>
        <v>28655850.968641903</v>
      </c>
      <c r="AG179" s="194">
        <f t="shared" si="108"/>
        <v>4041637.0535277505</v>
      </c>
    </row>
    <row r="180" spans="13:33" x14ac:dyDescent="0.3">
      <c r="M180" s="237"/>
      <c r="N180" s="207"/>
      <c r="O180" s="182">
        <f>O112*(O133+O137)</f>
        <v>7876028.976314838</v>
      </c>
      <c r="P180" s="195">
        <f t="shared" ref="P180:R180" si="113">P112*(P133+P137)</f>
        <v>130296.29805517588</v>
      </c>
      <c r="Q180" s="195">
        <f t="shared" si="113"/>
        <v>241886.91922677532</v>
      </c>
      <c r="R180" s="183">
        <f t="shared" si="113"/>
        <v>35585.330100648738</v>
      </c>
      <c r="T180" s="182">
        <f t="shared" si="110"/>
        <v>7853732.8248827755</v>
      </c>
      <c r="U180" s="195">
        <f t="shared" si="106"/>
        <v>115576.92532936338</v>
      </c>
      <c r="V180" s="195">
        <f t="shared" si="106"/>
        <v>223949.66721865031</v>
      </c>
      <c r="W180" s="183">
        <f t="shared" si="106"/>
        <v>21662.34346127374</v>
      </c>
      <c r="Y180" s="182">
        <f t="shared" si="111"/>
        <v>7835366.8955422752</v>
      </c>
      <c r="Z180" s="195">
        <f t="shared" si="107"/>
        <v>105089.23803886338</v>
      </c>
      <c r="AA180" s="195">
        <f t="shared" si="107"/>
        <v>210116.06831365032</v>
      </c>
      <c r="AB180" s="183">
        <f t="shared" si="107"/>
        <v>12002.728706273738</v>
      </c>
      <c r="AC180" s="208"/>
      <c r="AD180" s="182">
        <f t="shared" si="112"/>
        <v>7266097.7647264004</v>
      </c>
      <c r="AE180" s="184">
        <f t="shared" si="108"/>
        <v>-247809.60218951158</v>
      </c>
      <c r="AF180" s="184">
        <f t="shared" si="108"/>
        <v>-234675.84447009969</v>
      </c>
      <c r="AG180" s="184">
        <f t="shared" si="108"/>
        <v>-318153.69081497629</v>
      </c>
    </row>
    <row r="181" spans="13:33" ht="28.8" x14ac:dyDescent="0.3">
      <c r="M181" s="222" t="s">
        <v>895</v>
      </c>
      <c r="O181" s="182">
        <f t="shared" ref="O181:R183" si="114">O113*(O134+O138)</f>
        <v>8809807.0775876921</v>
      </c>
      <c r="P181" s="195">
        <f t="shared" si="114"/>
        <v>148048.2769479829</v>
      </c>
      <c r="Q181" s="195">
        <f t="shared" si="114"/>
        <v>261843.50048997015</v>
      </c>
      <c r="R181" s="183">
        <f t="shared" si="114"/>
        <v>38882.452652615102</v>
      </c>
      <c r="T181" s="182">
        <f t="shared" si="110"/>
        <v>8787510.9261556305</v>
      </c>
      <c r="U181" s="195">
        <f t="shared" si="106"/>
        <v>133328.90422217041</v>
      </c>
      <c r="V181" s="195">
        <f t="shared" si="106"/>
        <v>243906.24848184513</v>
      </c>
      <c r="W181" s="183">
        <f t="shared" si="106"/>
        <v>24959.466013240104</v>
      </c>
      <c r="Y181" s="182">
        <f t="shared" si="111"/>
        <v>8769144.9968151301</v>
      </c>
      <c r="Z181" s="195">
        <f t="shared" si="107"/>
        <v>122841.21693167041</v>
      </c>
      <c r="AA181" s="195">
        <f t="shared" si="107"/>
        <v>230072.64957684514</v>
      </c>
      <c r="AB181" s="183">
        <f t="shared" si="107"/>
        <v>15299.851258240102</v>
      </c>
      <c r="AC181" s="101"/>
      <c r="AD181" s="182">
        <f t="shared" si="112"/>
        <v>8199875.8659992544</v>
      </c>
      <c r="AE181" s="184">
        <f t="shared" si="108"/>
        <v>-230057.62329670455</v>
      </c>
      <c r="AF181" s="184">
        <f t="shared" si="108"/>
        <v>-214719.26320690487</v>
      </c>
      <c r="AG181" s="184">
        <f t="shared" si="108"/>
        <v>-314856.56826300995</v>
      </c>
    </row>
    <row r="182" spans="13:33" x14ac:dyDescent="0.3">
      <c r="M182" s="222"/>
      <c r="O182" s="182">
        <f t="shared" si="114"/>
        <v>9490013.79563988</v>
      </c>
      <c r="P182" s="195">
        <f t="shared" si="114"/>
        <v>161469.0568336508</v>
      </c>
      <c r="Q182" s="195">
        <f t="shared" si="114"/>
        <v>275684.39607371378</v>
      </c>
      <c r="R182" s="183">
        <f t="shared" si="114"/>
        <v>41252.023274819701</v>
      </c>
      <c r="T182" s="182">
        <f t="shared" si="110"/>
        <v>9467717.6442078166</v>
      </c>
      <c r="U182" s="195">
        <f t="shared" si="106"/>
        <v>146749.68410783831</v>
      </c>
      <c r="V182" s="195">
        <f t="shared" si="106"/>
        <v>257747.14406558877</v>
      </c>
      <c r="W182" s="183">
        <f t="shared" si="106"/>
        <v>27329.036635444703</v>
      </c>
      <c r="Y182" s="182">
        <f t="shared" si="111"/>
        <v>9449351.714867318</v>
      </c>
      <c r="Z182" s="195">
        <f t="shared" si="107"/>
        <v>136261.99681733831</v>
      </c>
      <c r="AA182" s="195">
        <f t="shared" si="107"/>
        <v>243913.54516058878</v>
      </c>
      <c r="AB182" s="183">
        <f t="shared" si="107"/>
        <v>17669.421880444701</v>
      </c>
      <c r="AC182" s="101"/>
      <c r="AD182" s="182">
        <f t="shared" si="112"/>
        <v>8880082.5840514433</v>
      </c>
      <c r="AE182" s="184">
        <f t="shared" si="108"/>
        <v>-216636.84341103665</v>
      </c>
      <c r="AF182" s="184">
        <f t="shared" si="108"/>
        <v>-200878.36762316123</v>
      </c>
      <c r="AG182" s="184">
        <f t="shared" si="108"/>
        <v>-312486.99764080532</v>
      </c>
    </row>
    <row r="183" spans="13:33" x14ac:dyDescent="0.3">
      <c r="M183" s="111"/>
      <c r="N183" s="8"/>
      <c r="O183" s="194">
        <f t="shared" si="114"/>
        <v>9925374.6106367446</v>
      </c>
      <c r="P183" s="196">
        <f t="shared" si="114"/>
        <v>170706.41560896515</v>
      </c>
      <c r="Q183" s="196">
        <f t="shared" si="114"/>
        <v>283807.9745804444</v>
      </c>
      <c r="R183" s="193">
        <f t="shared" si="114"/>
        <v>42819.753717227373</v>
      </c>
      <c r="T183" s="194">
        <f t="shared" si="110"/>
        <v>9903078.4592046812</v>
      </c>
      <c r="U183" s="196">
        <f t="shared" si="106"/>
        <v>155987.04288315267</v>
      </c>
      <c r="V183" s="196">
        <f t="shared" si="106"/>
        <v>265870.72257231938</v>
      </c>
      <c r="W183" s="193">
        <f t="shared" si="106"/>
        <v>28896.767077852375</v>
      </c>
      <c r="Y183" s="194">
        <f t="shared" si="111"/>
        <v>9884712.5298641827</v>
      </c>
      <c r="Z183" s="196">
        <f t="shared" si="107"/>
        <v>145499.35559265266</v>
      </c>
      <c r="AA183" s="196">
        <f t="shared" si="107"/>
        <v>252037.12366731939</v>
      </c>
      <c r="AB183" s="193">
        <f t="shared" si="107"/>
        <v>19237.152322852373</v>
      </c>
      <c r="AC183" s="208"/>
      <c r="AD183" s="194">
        <f t="shared" si="112"/>
        <v>9315443.3990483079</v>
      </c>
      <c r="AE183" s="197">
        <f t="shared" si="108"/>
        <v>-207399.4846357223</v>
      </c>
      <c r="AF183" s="197">
        <f t="shared" si="108"/>
        <v>-192754.78911643062</v>
      </c>
      <c r="AG183" s="197">
        <f t="shared" si="108"/>
        <v>-310919.26719839766</v>
      </c>
    </row>
    <row r="184" spans="13:33" x14ac:dyDescent="0.3">
      <c r="M184" s="237"/>
      <c r="N184" s="207"/>
      <c r="O184" s="182">
        <f>O116*(O133+O137)</f>
        <v>1910393.8073323714</v>
      </c>
      <c r="P184" s="183">
        <f t="shared" ref="P184:R184" si="115">P116*(P133+P137)</f>
        <v>31604.408982178258</v>
      </c>
      <c r="Q184" s="183">
        <f t="shared" si="115"/>
        <v>58671.606459953822</v>
      </c>
      <c r="R184" s="183">
        <f t="shared" si="115"/>
        <v>8631.5063670532709</v>
      </c>
      <c r="T184" s="182">
        <f t="shared" si="110"/>
        <v>1888097.6559003089</v>
      </c>
      <c r="U184" s="183">
        <f t="shared" si="106"/>
        <v>16885.036256365758</v>
      </c>
      <c r="V184" s="183">
        <f t="shared" si="106"/>
        <v>40734.354451828825</v>
      </c>
      <c r="W184" s="184">
        <f t="shared" si="106"/>
        <v>-5291.480272321729</v>
      </c>
      <c r="Y184" s="182">
        <f t="shared" si="111"/>
        <v>1869731.7265598089</v>
      </c>
      <c r="Z184" s="183">
        <f t="shared" si="107"/>
        <v>6397.34896586576</v>
      </c>
      <c r="AA184" s="183">
        <f t="shared" si="107"/>
        <v>26900.755546828823</v>
      </c>
      <c r="AB184" s="184">
        <f t="shared" si="107"/>
        <v>-14951.09502732173</v>
      </c>
      <c r="AC184" s="208"/>
      <c r="AD184" s="182">
        <f t="shared" si="112"/>
        <v>1300462.5957439339</v>
      </c>
      <c r="AE184" s="184">
        <f t="shared" si="108"/>
        <v>-346501.4912625092</v>
      </c>
      <c r="AF184" s="184">
        <f t="shared" si="108"/>
        <v>-417891.15723692119</v>
      </c>
      <c r="AG184" s="184">
        <f t="shared" si="108"/>
        <v>-345107.51454857178</v>
      </c>
    </row>
    <row r="185" spans="13:33" ht="28.8" x14ac:dyDescent="0.3">
      <c r="M185" s="222" t="s">
        <v>896</v>
      </c>
      <c r="O185" s="182">
        <f t="shared" ref="O185:R187" si="116">O117*(O134+O138)</f>
        <v>2136889.1525702849</v>
      </c>
      <c r="P185" s="183">
        <f t="shared" si="116"/>
        <v>35910.293412860148</v>
      </c>
      <c r="Q185" s="183">
        <f t="shared" si="116"/>
        <v>63512.23482424549</v>
      </c>
      <c r="R185" s="183">
        <f t="shared" si="116"/>
        <v>9431.2498068291388</v>
      </c>
      <c r="T185" s="182">
        <f t="shared" si="110"/>
        <v>2114593.0011382224</v>
      </c>
      <c r="U185" s="183">
        <f t="shared" si="106"/>
        <v>21190.920687047648</v>
      </c>
      <c r="V185" s="183">
        <f t="shared" si="106"/>
        <v>45574.982816120493</v>
      </c>
      <c r="W185" s="184">
        <f t="shared" si="106"/>
        <v>-4491.736832545861</v>
      </c>
      <c r="Y185" s="182">
        <f t="shared" si="111"/>
        <v>2096227.0717977225</v>
      </c>
      <c r="Z185" s="183">
        <f t="shared" si="107"/>
        <v>10703.23339654765</v>
      </c>
      <c r="AA185" s="183">
        <f t="shared" si="107"/>
        <v>31741.383911120491</v>
      </c>
      <c r="AB185" s="184">
        <f t="shared" si="107"/>
        <v>-14151.351587545862</v>
      </c>
      <c r="AC185" s="101"/>
      <c r="AD185" s="182">
        <f t="shared" si="112"/>
        <v>1526957.9409818475</v>
      </c>
      <c r="AE185" s="184">
        <f t="shared" si="108"/>
        <v>-342195.60683182732</v>
      </c>
      <c r="AF185" s="184">
        <f t="shared" si="108"/>
        <v>-413050.52887262951</v>
      </c>
      <c r="AG185" s="184">
        <f t="shared" si="108"/>
        <v>-344307.77110879589</v>
      </c>
    </row>
    <row r="186" spans="13:33" x14ac:dyDescent="0.3">
      <c r="M186" s="222"/>
      <c r="O186" s="182">
        <f t="shared" si="116"/>
        <v>2301878.7311739931</v>
      </c>
      <c r="P186" s="183">
        <f t="shared" si="116"/>
        <v>39165.610890773642</v>
      </c>
      <c r="Q186" s="183">
        <f t="shared" si="116"/>
        <v>66869.45472410036</v>
      </c>
      <c r="R186" s="183">
        <f t="shared" si="116"/>
        <v>10006.008109053475</v>
      </c>
      <c r="T186" s="182">
        <f t="shared" si="110"/>
        <v>2279582.5797419306</v>
      </c>
      <c r="U186" s="183">
        <f t="shared" si="106"/>
        <v>24446.238164961142</v>
      </c>
      <c r="V186" s="183">
        <f t="shared" si="106"/>
        <v>48932.202715975363</v>
      </c>
      <c r="W186" s="184">
        <f t="shared" si="106"/>
        <v>-3916.9785303215249</v>
      </c>
      <c r="Y186" s="182">
        <f t="shared" si="111"/>
        <v>2261216.6504014307</v>
      </c>
      <c r="Z186" s="183">
        <f t="shared" si="107"/>
        <v>13958.550874461143</v>
      </c>
      <c r="AA186" s="183">
        <f t="shared" si="107"/>
        <v>35098.603810975357</v>
      </c>
      <c r="AB186" s="184">
        <f t="shared" si="107"/>
        <v>-13576.593285321525</v>
      </c>
      <c r="AC186" s="101"/>
      <c r="AD186" s="182">
        <f t="shared" si="112"/>
        <v>1691947.5195855557</v>
      </c>
      <c r="AE186" s="184">
        <f t="shared" si="108"/>
        <v>-338940.2893539138</v>
      </c>
      <c r="AF186" s="184">
        <f t="shared" si="108"/>
        <v>-409693.30897277466</v>
      </c>
      <c r="AG186" s="184">
        <f t="shared" si="108"/>
        <v>-343733.01280657155</v>
      </c>
    </row>
    <row r="187" spans="13:33" x14ac:dyDescent="0.3">
      <c r="M187" s="111"/>
      <c r="N187" s="8"/>
      <c r="O187" s="194">
        <f t="shared" si="116"/>
        <v>2407478.9781291964</v>
      </c>
      <c r="P187" s="193">
        <f t="shared" si="116"/>
        <v>41406.206126461162</v>
      </c>
      <c r="Q187" s="193">
        <f t="shared" si="116"/>
        <v>68839.89364951654</v>
      </c>
      <c r="R187" s="193">
        <f t="shared" si="116"/>
        <v>10386.273663909697</v>
      </c>
      <c r="T187" s="194">
        <f t="shared" si="110"/>
        <v>2385182.8266971339</v>
      </c>
      <c r="U187" s="193">
        <f t="shared" si="106"/>
        <v>26686.833400648662</v>
      </c>
      <c r="V187" s="193">
        <f t="shared" si="106"/>
        <v>50902.641641391543</v>
      </c>
      <c r="W187" s="197">
        <f t="shared" si="106"/>
        <v>-3536.7129754653033</v>
      </c>
      <c r="Y187" s="194">
        <f t="shared" si="111"/>
        <v>2366816.897356634</v>
      </c>
      <c r="Z187" s="193">
        <f t="shared" si="107"/>
        <v>16199.146110148664</v>
      </c>
      <c r="AA187" s="193">
        <f t="shared" si="107"/>
        <v>37069.042736391537</v>
      </c>
      <c r="AB187" s="197">
        <f t="shared" si="107"/>
        <v>-13196.327730465304</v>
      </c>
      <c r="AC187" s="101"/>
      <c r="AD187" s="194">
        <f t="shared" si="112"/>
        <v>1797547.766540759</v>
      </c>
      <c r="AE187" s="197">
        <f t="shared" si="108"/>
        <v>-336699.6941182263</v>
      </c>
      <c r="AF187" s="197">
        <f t="shared" si="108"/>
        <v>-407722.87004735845</v>
      </c>
      <c r="AG187" s="197">
        <f t="shared" si="108"/>
        <v>-343352.74725171534</v>
      </c>
    </row>
    <row r="188" spans="13:33" x14ac:dyDescent="0.3">
      <c r="M188" s="237"/>
      <c r="N188" s="207"/>
      <c r="O188" s="195">
        <f>O120*(O133+O137)</f>
        <v>244155.28134336695</v>
      </c>
      <c r="P188" s="184">
        <f t="shared" ref="P188:R188" si="117">P120*(P133+P137)</f>
        <v>4039.1584903164767</v>
      </c>
      <c r="Q188" s="184">
        <f t="shared" si="117"/>
        <v>7498.444837454952</v>
      </c>
      <c r="R188" s="184">
        <f t="shared" si="117"/>
        <v>1103.1379275709216</v>
      </c>
      <c r="T188" s="195">
        <f t="shared" si="110"/>
        <v>221859.12991130445</v>
      </c>
      <c r="U188" s="184">
        <f t="shared" si="106"/>
        <v>-10680.214235496023</v>
      </c>
      <c r="V188" s="184">
        <f t="shared" si="106"/>
        <v>-10438.807170670048</v>
      </c>
      <c r="W188" s="184">
        <f t="shared" si="106"/>
        <v>-12819.848711804078</v>
      </c>
      <c r="Y188" s="195">
        <f t="shared" si="111"/>
        <v>203493.20057080445</v>
      </c>
      <c r="Z188" s="184">
        <f t="shared" si="107"/>
        <v>-21167.901525996022</v>
      </c>
      <c r="AA188" s="184">
        <f t="shared" si="107"/>
        <v>-24272.406075670049</v>
      </c>
      <c r="AB188" s="184">
        <f t="shared" si="107"/>
        <v>-22479.463466804078</v>
      </c>
      <c r="AC188" s="101"/>
      <c r="AD188" s="184">
        <f t="shared" si="112"/>
        <v>-365775.93024507049</v>
      </c>
      <c r="AE188" s="184">
        <f t="shared" si="108"/>
        <v>-374066.74175437097</v>
      </c>
      <c r="AF188" s="184">
        <f t="shared" si="108"/>
        <v>-469064.31885942008</v>
      </c>
      <c r="AG188" s="184">
        <f t="shared" si="108"/>
        <v>-352635.88298805413</v>
      </c>
    </row>
    <row r="189" spans="13:33" ht="28.8" x14ac:dyDescent="0.3">
      <c r="M189" s="222" t="s">
        <v>897</v>
      </c>
      <c r="O189" s="195">
        <f t="shared" ref="O189:R191" si="118">O121*(O134+O138)</f>
        <v>273102.21078130603</v>
      </c>
      <c r="P189" s="184">
        <f t="shared" si="118"/>
        <v>4589.4661915716315</v>
      </c>
      <c r="Q189" s="184">
        <f t="shared" si="118"/>
        <v>8117.0947595946409</v>
      </c>
      <c r="R189" s="184">
        <f t="shared" si="118"/>
        <v>1205.3480497936523</v>
      </c>
      <c r="T189" s="195">
        <f t="shared" si="110"/>
        <v>250806.05934924353</v>
      </c>
      <c r="U189" s="184">
        <f t="shared" si="106"/>
        <v>-10129.906534240868</v>
      </c>
      <c r="V189" s="184">
        <f t="shared" si="106"/>
        <v>-9820.1572485303586</v>
      </c>
      <c r="W189" s="184">
        <f t="shared" si="106"/>
        <v>-12717.638589581347</v>
      </c>
      <c r="Y189" s="195">
        <f t="shared" si="111"/>
        <v>232440.13000874352</v>
      </c>
      <c r="Z189" s="184">
        <f t="shared" si="107"/>
        <v>-20617.593824740867</v>
      </c>
      <c r="AA189" s="184">
        <f t="shared" si="107"/>
        <v>-23653.756153530358</v>
      </c>
      <c r="AB189" s="184">
        <f t="shared" si="107"/>
        <v>-22377.25334458135</v>
      </c>
      <c r="AC189" s="101"/>
      <c r="AD189" s="184">
        <f t="shared" si="112"/>
        <v>-336829.00080713141</v>
      </c>
      <c r="AE189" s="184">
        <f t="shared" si="108"/>
        <v>-373516.43405311584</v>
      </c>
      <c r="AF189" s="184">
        <f t="shared" si="108"/>
        <v>-468445.66893728037</v>
      </c>
      <c r="AG189" s="184">
        <f t="shared" si="108"/>
        <v>-352533.67286583141</v>
      </c>
    </row>
    <row r="190" spans="13:33" x14ac:dyDescent="0.3">
      <c r="M190" s="222"/>
      <c r="O190" s="195">
        <f t="shared" si="118"/>
        <v>294188.47939676087</v>
      </c>
      <c r="P190" s="184">
        <f t="shared" si="118"/>
        <v>5005.5076127861357</v>
      </c>
      <c r="Q190" s="184">
        <f t="shared" si="118"/>
        <v>8546.1596812011467</v>
      </c>
      <c r="R190" s="184">
        <f t="shared" si="118"/>
        <v>1278.8042526170757</v>
      </c>
      <c r="T190" s="195">
        <f t="shared" si="110"/>
        <v>271892.32796469837</v>
      </c>
      <c r="U190" s="184">
        <f t="shared" si="106"/>
        <v>-9713.8651130263643</v>
      </c>
      <c r="V190" s="184">
        <f t="shared" si="106"/>
        <v>-9391.0923269238538</v>
      </c>
      <c r="W190" s="184">
        <f t="shared" si="106"/>
        <v>-12644.182386757924</v>
      </c>
      <c r="Y190" s="195">
        <f t="shared" si="111"/>
        <v>253526.39862419837</v>
      </c>
      <c r="Z190" s="184">
        <f t="shared" si="107"/>
        <v>-20201.552403526362</v>
      </c>
      <c r="AA190" s="184">
        <f t="shared" si="107"/>
        <v>-23224.691231923855</v>
      </c>
      <c r="AB190" s="184">
        <f t="shared" si="107"/>
        <v>-22303.797141757925</v>
      </c>
      <c r="AC190" s="101"/>
      <c r="AD190" s="184">
        <f t="shared" si="112"/>
        <v>-315742.73219167656</v>
      </c>
      <c r="AE190" s="184">
        <f t="shared" si="108"/>
        <v>-373100.39263190131</v>
      </c>
      <c r="AF190" s="184">
        <f t="shared" si="108"/>
        <v>-468016.60401567386</v>
      </c>
      <c r="AG190" s="184">
        <f t="shared" si="108"/>
        <v>-352460.21666300797</v>
      </c>
    </row>
    <row r="191" spans="13:33" x14ac:dyDescent="0.3">
      <c r="M191" s="111"/>
      <c r="N191" s="8"/>
      <c r="O191" s="196">
        <f t="shared" si="118"/>
        <v>307684.57528354519</v>
      </c>
      <c r="P191" s="197">
        <f t="shared" si="118"/>
        <v>5291.8638384220349</v>
      </c>
      <c r="Q191" s="197">
        <f t="shared" si="118"/>
        <v>8797.9889471663118</v>
      </c>
      <c r="R191" s="197">
        <f t="shared" si="118"/>
        <v>1327.4035744818998</v>
      </c>
      <c r="T191" s="196">
        <f t="shared" si="110"/>
        <v>285388.42385148269</v>
      </c>
      <c r="U191" s="197">
        <f t="shared" si="106"/>
        <v>-9427.5088873904642</v>
      </c>
      <c r="V191" s="197">
        <f t="shared" si="106"/>
        <v>-9139.2630609586886</v>
      </c>
      <c r="W191" s="197">
        <f t="shared" si="106"/>
        <v>-12595.583064893101</v>
      </c>
      <c r="Y191" s="196">
        <f t="shared" si="111"/>
        <v>267022.49451098271</v>
      </c>
      <c r="Z191" s="197">
        <f t="shared" si="107"/>
        <v>-19915.196177890462</v>
      </c>
      <c r="AA191" s="197">
        <f t="shared" si="107"/>
        <v>-22972.861965958688</v>
      </c>
      <c r="AB191" s="197">
        <f t="shared" si="107"/>
        <v>-22255.197819893099</v>
      </c>
      <c r="AC191" s="101"/>
      <c r="AD191" s="197">
        <f t="shared" si="112"/>
        <v>-302246.63630489225</v>
      </c>
      <c r="AE191" s="197">
        <f t="shared" si="108"/>
        <v>-372814.0364062654</v>
      </c>
      <c r="AF191" s="197">
        <f t="shared" si="108"/>
        <v>-467764.77474970871</v>
      </c>
      <c r="AG191" s="197">
        <f t="shared" si="108"/>
        <v>-352411.61734114314</v>
      </c>
    </row>
    <row r="192" spans="13:33" x14ac:dyDescent="0.3">
      <c r="M192" s="237"/>
      <c r="N192" s="207"/>
      <c r="O192" s="183">
        <f>O124*(O133+O137)</f>
        <v>17786.146323026729</v>
      </c>
      <c r="P192" s="184">
        <f t="shared" ref="P192:R192" si="119">P124*(P133+P137)</f>
        <v>294.24333373166388</v>
      </c>
      <c r="Q192" s="184">
        <f t="shared" si="119"/>
        <v>546.24432590731442</v>
      </c>
      <c r="R192" s="184">
        <f t="shared" si="119"/>
        <v>80.361041081325411</v>
      </c>
      <c r="T192" s="184">
        <f t="shared" si="110"/>
        <v>-4510.0051090357701</v>
      </c>
      <c r="U192" s="184">
        <f t="shared" si="110"/>
        <v>-14425.129392080837</v>
      </c>
      <c r="V192" s="184">
        <f t="shared" si="110"/>
        <v>-17391.007682217685</v>
      </c>
      <c r="W192" s="184">
        <f t="shared" si="110"/>
        <v>-13842.625598293675</v>
      </c>
      <c r="Y192" s="184">
        <f t="shared" si="111"/>
        <v>-22875.934449535769</v>
      </c>
      <c r="Z192" s="184">
        <f t="shared" si="111"/>
        <v>-24912.816682580833</v>
      </c>
      <c r="AA192" s="184">
        <f t="shared" si="111"/>
        <v>-31224.606587217684</v>
      </c>
      <c r="AB192" s="184">
        <f t="shared" si="111"/>
        <v>-23502.240353293673</v>
      </c>
      <c r="AC192" s="101"/>
      <c r="AD192" s="184">
        <f t="shared" si="112"/>
        <v>-592145.0652654107</v>
      </c>
      <c r="AE192" s="184">
        <f t="shared" si="112"/>
        <v>-377811.65691095579</v>
      </c>
      <c r="AF192" s="184">
        <f t="shared" si="112"/>
        <v>-476016.5193709677</v>
      </c>
      <c r="AG192" s="184">
        <f t="shared" si="112"/>
        <v>-353658.65987454372</v>
      </c>
    </row>
    <row r="193" spans="13:33" ht="28.8" x14ac:dyDescent="0.3">
      <c r="M193" s="222" t="s">
        <v>898</v>
      </c>
      <c r="O193" s="183">
        <f t="shared" ref="O193:R195" si="120">O125*(O134+O138)</f>
        <v>19894.863037048781</v>
      </c>
      <c r="P193" s="184">
        <f t="shared" si="120"/>
        <v>334.33197422044992</v>
      </c>
      <c r="Q193" s="184">
        <f t="shared" si="120"/>
        <v>591.31153877841757</v>
      </c>
      <c r="R193" s="184">
        <f t="shared" si="120"/>
        <v>87.806811574372006</v>
      </c>
      <c r="T193" s="184">
        <f t="shared" si="110"/>
        <v>-2401.2883950137184</v>
      </c>
      <c r="U193" s="184">
        <f t="shared" si="110"/>
        <v>-14385.040751592051</v>
      </c>
      <c r="V193" s="184">
        <f t="shared" si="110"/>
        <v>-17345.940469346584</v>
      </c>
      <c r="W193" s="184">
        <f t="shared" si="110"/>
        <v>-13835.179827800628</v>
      </c>
      <c r="Y193" s="184">
        <f t="shared" si="111"/>
        <v>-20767.217735513717</v>
      </c>
      <c r="Z193" s="184">
        <f t="shared" si="111"/>
        <v>-24872.728042092047</v>
      </c>
      <c r="AA193" s="184">
        <f t="shared" si="111"/>
        <v>-31179.539374346583</v>
      </c>
      <c r="AB193" s="184">
        <f t="shared" si="111"/>
        <v>-23494.794582800627</v>
      </c>
      <c r="AC193" s="101"/>
      <c r="AD193" s="184">
        <f t="shared" si="112"/>
        <v>-590036.3485513886</v>
      </c>
      <c r="AE193" s="184">
        <f t="shared" si="112"/>
        <v>-377771.56827046699</v>
      </c>
      <c r="AF193" s="184">
        <f t="shared" si="112"/>
        <v>-475971.4521580966</v>
      </c>
      <c r="AG193" s="184">
        <f t="shared" si="112"/>
        <v>-353651.21410405065</v>
      </c>
    </row>
    <row r="194" spans="13:33" x14ac:dyDescent="0.3">
      <c r="M194" s="222"/>
      <c r="O194" s="183">
        <f t="shared" si="120"/>
        <v>21430.948830227608</v>
      </c>
      <c r="P194" s="184">
        <f t="shared" si="120"/>
        <v>364.63962742150653</v>
      </c>
      <c r="Q194" s="184">
        <f t="shared" si="120"/>
        <v>622.56792379610999</v>
      </c>
      <c r="R194" s="184">
        <f t="shared" si="120"/>
        <v>93.157925687336629</v>
      </c>
      <c r="T194" s="184">
        <f t="shared" ref="T194:W199" si="121">O194-T$147</f>
        <v>-865.20260183489154</v>
      </c>
      <c r="U194" s="184">
        <f t="shared" si="121"/>
        <v>-14354.733098390994</v>
      </c>
      <c r="V194" s="184">
        <f t="shared" si="121"/>
        <v>-17314.684084328892</v>
      </c>
      <c r="W194" s="184">
        <f t="shared" si="121"/>
        <v>-13829.828713687662</v>
      </c>
      <c r="Y194" s="184">
        <f t="shared" si="111"/>
        <v>-19231.13194233489</v>
      </c>
      <c r="Z194" s="184">
        <f t="shared" si="111"/>
        <v>-24842.420388890991</v>
      </c>
      <c r="AA194" s="184">
        <f t="shared" si="111"/>
        <v>-31148.282989328891</v>
      </c>
      <c r="AB194" s="184">
        <f t="shared" si="111"/>
        <v>-23489.443468687663</v>
      </c>
      <c r="AC194" s="101"/>
      <c r="AD194" s="184">
        <f t="shared" si="112"/>
        <v>-588500.26275820984</v>
      </c>
      <c r="AE194" s="184">
        <f t="shared" si="112"/>
        <v>-377741.26061726594</v>
      </c>
      <c r="AF194" s="184">
        <f t="shared" si="112"/>
        <v>-475940.19577307889</v>
      </c>
      <c r="AG194" s="184">
        <f t="shared" si="112"/>
        <v>-353645.86298993771</v>
      </c>
    </row>
    <row r="195" spans="13:33" x14ac:dyDescent="0.3">
      <c r="M195" s="111"/>
      <c r="N195" s="8"/>
      <c r="O195" s="193">
        <f t="shared" si="120"/>
        <v>22414.108133238387</v>
      </c>
      <c r="P195" s="197">
        <f t="shared" si="120"/>
        <v>385.50001471948599</v>
      </c>
      <c r="Q195" s="197">
        <f t="shared" si="120"/>
        <v>640.9131021114531</v>
      </c>
      <c r="R195" s="197">
        <f t="shared" si="120"/>
        <v>96.698273637754255</v>
      </c>
      <c r="T195" s="197">
        <f t="shared" si="121"/>
        <v>117.95670117588816</v>
      </c>
      <c r="U195" s="197">
        <f t="shared" si="121"/>
        <v>-14333.872711093014</v>
      </c>
      <c r="V195" s="197">
        <f t="shared" si="121"/>
        <v>-17296.338906013549</v>
      </c>
      <c r="W195" s="197">
        <f t="shared" si="121"/>
        <v>-13826.288365737246</v>
      </c>
      <c r="Y195" s="197">
        <f t="shared" si="111"/>
        <v>-18247.972639324111</v>
      </c>
      <c r="Z195" s="197">
        <f t="shared" si="111"/>
        <v>-24821.56000159301</v>
      </c>
      <c r="AA195" s="197">
        <f t="shared" si="111"/>
        <v>-31129.937811013548</v>
      </c>
      <c r="AB195" s="197">
        <f t="shared" si="111"/>
        <v>-23485.903120737246</v>
      </c>
      <c r="AC195" s="101"/>
      <c r="AD195" s="197">
        <f t="shared" si="112"/>
        <v>-587517.10345519905</v>
      </c>
      <c r="AE195" s="197">
        <f t="shared" si="112"/>
        <v>-377720.40022996796</v>
      </c>
      <c r="AF195" s="197">
        <f t="shared" si="112"/>
        <v>-475921.85059476359</v>
      </c>
      <c r="AG195" s="197">
        <f t="shared" si="112"/>
        <v>-353642.3226419873</v>
      </c>
    </row>
    <row r="196" spans="13:33" x14ac:dyDescent="0.3">
      <c r="M196" s="237"/>
      <c r="N196" s="207"/>
      <c r="O196" s="184">
        <f>O128*(O133+O137)</f>
        <v>2425.383589503645</v>
      </c>
      <c r="P196" s="184">
        <f t="shared" ref="P196:R196" si="122">P128*(P133+P137)</f>
        <v>40.124090963408705</v>
      </c>
      <c r="Q196" s="184">
        <f t="shared" si="122"/>
        <v>74.487862623724695</v>
      </c>
      <c r="R196" s="184">
        <f t="shared" si="122"/>
        <v>10.958323783817102</v>
      </c>
      <c r="T196" s="184">
        <f t="shared" si="121"/>
        <v>-19870.767842558853</v>
      </c>
      <c r="U196" s="184">
        <f t="shared" si="121"/>
        <v>-14679.248634849091</v>
      </c>
      <c r="V196" s="184">
        <f t="shared" si="121"/>
        <v>-17862.764145501274</v>
      </c>
      <c r="W196" s="184">
        <f t="shared" si="121"/>
        <v>-13912.028315591182</v>
      </c>
      <c r="Y196" s="184">
        <f t="shared" si="111"/>
        <v>-38236.697183058852</v>
      </c>
      <c r="Z196" s="184">
        <f t="shared" si="111"/>
        <v>-25166.935925349091</v>
      </c>
      <c r="AA196" s="184">
        <f t="shared" si="111"/>
        <v>-31696.363050501273</v>
      </c>
      <c r="AB196" s="184">
        <f t="shared" si="111"/>
        <v>-23571.643070591184</v>
      </c>
      <c r="AC196" s="101"/>
      <c r="AD196" s="184">
        <f t="shared" si="112"/>
        <v>-607505.82799893385</v>
      </c>
      <c r="AE196" s="184">
        <f t="shared" si="112"/>
        <v>-378065.77615372406</v>
      </c>
      <c r="AF196" s="184">
        <f t="shared" si="112"/>
        <v>-476488.27583425131</v>
      </c>
      <c r="AG196" s="184">
        <f t="shared" si="112"/>
        <v>-353728.06259184121</v>
      </c>
    </row>
    <row r="197" spans="13:33" x14ac:dyDescent="0.3">
      <c r="M197" s="222" t="s">
        <v>825</v>
      </c>
      <c r="O197" s="184">
        <f t="shared" ref="O197:R199" si="123">O129*(O134+O138)</f>
        <v>2712.9358686884698</v>
      </c>
      <c r="P197" s="184">
        <f t="shared" si="123"/>
        <v>45.590723757334082</v>
      </c>
      <c r="Q197" s="184">
        <f t="shared" si="123"/>
        <v>80.633391651602395</v>
      </c>
      <c r="R197" s="184">
        <f t="shared" si="123"/>
        <v>11.973656123778001</v>
      </c>
      <c r="T197" s="184">
        <f t="shared" si="121"/>
        <v>-19583.215563374029</v>
      </c>
      <c r="U197" s="184">
        <f t="shared" si="121"/>
        <v>-14673.782002055166</v>
      </c>
      <c r="V197" s="184">
        <f t="shared" si="121"/>
        <v>-17856.618616473399</v>
      </c>
      <c r="W197" s="184">
        <f t="shared" si="121"/>
        <v>-13911.012983251221</v>
      </c>
      <c r="Y197" s="184">
        <f t="shared" si="111"/>
        <v>-37949.144903874025</v>
      </c>
      <c r="Z197" s="184">
        <f t="shared" si="111"/>
        <v>-25161.469292555164</v>
      </c>
      <c r="AA197" s="184">
        <f t="shared" si="111"/>
        <v>-31690.217521473398</v>
      </c>
      <c r="AB197" s="184">
        <f t="shared" si="111"/>
        <v>-23570.627738251223</v>
      </c>
      <c r="AC197" s="101"/>
      <c r="AD197" s="184">
        <f t="shared" si="112"/>
        <v>-607218.27571974893</v>
      </c>
      <c r="AE197" s="184">
        <f t="shared" si="112"/>
        <v>-378060.30952093011</v>
      </c>
      <c r="AF197" s="184">
        <f t="shared" si="112"/>
        <v>-476482.1303052234</v>
      </c>
      <c r="AG197" s="184">
        <f t="shared" si="112"/>
        <v>-353727.04725950124</v>
      </c>
    </row>
    <row r="198" spans="13:33" x14ac:dyDescent="0.3">
      <c r="M198" s="221" t="s">
        <v>900</v>
      </c>
      <c r="O198" s="184">
        <f t="shared" si="123"/>
        <v>2922.402113212856</v>
      </c>
      <c r="P198" s="184">
        <f t="shared" si="123"/>
        <v>49.72358555747816</v>
      </c>
      <c r="Q198" s="184">
        <f t="shared" si="123"/>
        <v>84.895625972196811</v>
      </c>
      <c r="R198" s="184">
        <f t="shared" si="123"/>
        <v>12.703353502818631</v>
      </c>
      <c r="T198" s="184">
        <f t="shared" si="121"/>
        <v>-19373.749318849645</v>
      </c>
      <c r="U198" s="184">
        <f t="shared" si="121"/>
        <v>-14669.649140255022</v>
      </c>
      <c r="V198" s="184">
        <f t="shared" si="121"/>
        <v>-17852.356382152804</v>
      </c>
      <c r="W198" s="184">
        <f t="shared" si="121"/>
        <v>-13910.283285872181</v>
      </c>
      <c r="Y198" s="184">
        <f t="shared" si="111"/>
        <v>-37739.678659349644</v>
      </c>
      <c r="Z198" s="184">
        <f t="shared" si="111"/>
        <v>-25157.336430755018</v>
      </c>
      <c r="AA198" s="184">
        <f t="shared" si="111"/>
        <v>-31685.955287152803</v>
      </c>
      <c r="AB198" s="184">
        <f t="shared" si="111"/>
        <v>-23569.89804087218</v>
      </c>
      <c r="AC198" s="101"/>
      <c r="AD198" s="184">
        <f t="shared" si="112"/>
        <v>-607008.80947522458</v>
      </c>
      <c r="AE198" s="184">
        <f t="shared" si="112"/>
        <v>-378056.17665912997</v>
      </c>
      <c r="AF198" s="184">
        <f t="shared" si="112"/>
        <v>-476477.86807090283</v>
      </c>
      <c r="AG198" s="184">
        <f t="shared" si="112"/>
        <v>-353726.31756212219</v>
      </c>
    </row>
    <row r="199" spans="13:33" x14ac:dyDescent="0.3">
      <c r="M199" s="8"/>
      <c r="N199" s="8"/>
      <c r="O199" s="197">
        <f t="shared" si="123"/>
        <v>3056.4692908961438</v>
      </c>
      <c r="P199" s="197">
        <f t="shared" si="123"/>
        <v>52.568183825384459</v>
      </c>
      <c r="Q199" s="197">
        <f t="shared" si="123"/>
        <v>87.397241197016342</v>
      </c>
      <c r="R199" s="197">
        <f t="shared" si="123"/>
        <v>13.186128223330128</v>
      </c>
      <c r="T199" s="184">
        <f t="shared" si="121"/>
        <v>-19239.682141166355</v>
      </c>
      <c r="U199" s="184">
        <f t="shared" si="121"/>
        <v>-14666.804541987116</v>
      </c>
      <c r="V199" s="184">
        <f t="shared" si="121"/>
        <v>-17849.854766927983</v>
      </c>
      <c r="W199" s="184">
        <f t="shared" si="121"/>
        <v>-13909.80051115167</v>
      </c>
      <c r="Y199" s="184">
        <f t="shared" si="111"/>
        <v>-37605.611481666354</v>
      </c>
      <c r="Z199" s="184">
        <f t="shared" si="111"/>
        <v>-25154.491832487114</v>
      </c>
      <c r="AA199" s="184">
        <f t="shared" si="111"/>
        <v>-31683.453671927982</v>
      </c>
      <c r="AB199" s="184">
        <f t="shared" si="111"/>
        <v>-23569.415266151671</v>
      </c>
      <c r="AC199" s="101"/>
      <c r="AD199" s="184">
        <f t="shared" si="112"/>
        <v>-606874.74229754135</v>
      </c>
      <c r="AE199" s="184">
        <f t="shared" si="112"/>
        <v>-378053.33206086204</v>
      </c>
      <c r="AF199" s="184">
        <f t="shared" si="112"/>
        <v>-476475.36645567801</v>
      </c>
      <c r="AG199" s="184">
        <f t="shared" si="112"/>
        <v>-353725.83478740172</v>
      </c>
    </row>
    <row r="200" spans="13:33" x14ac:dyDescent="0.3">
      <c r="O200" s="198"/>
    </row>
    <row r="201" spans="13:33" x14ac:dyDescent="0.3">
      <c r="O201" s="198"/>
    </row>
    <row r="202" spans="13:33" x14ac:dyDescent="0.3">
      <c r="N202" s="1" t="s">
        <v>858</v>
      </c>
      <c r="T202" s="221" t="s">
        <v>944</v>
      </c>
      <c r="Y202" s="221" t="s">
        <v>943</v>
      </c>
      <c r="AD202" s="221" t="s">
        <v>945</v>
      </c>
    </row>
    <row r="203" spans="13:33" x14ac:dyDescent="0.3">
      <c r="M203" s="176" t="s">
        <v>821</v>
      </c>
      <c r="N203" s="8"/>
      <c r="O203" s="188" t="s">
        <v>826</v>
      </c>
      <c r="P203" s="188" t="s">
        <v>827</v>
      </c>
      <c r="Q203" s="188" t="s">
        <v>828</v>
      </c>
      <c r="R203" s="188" t="s">
        <v>829</v>
      </c>
      <c r="T203" s="170">
        <v>22296.151432062499</v>
      </c>
      <c r="U203" s="170">
        <v>14719.3727258125</v>
      </c>
      <c r="V203" s="170">
        <v>17937.252008125</v>
      </c>
      <c r="W203" s="170">
        <v>13922.986639375</v>
      </c>
      <c r="X203" s="8"/>
      <c r="Y203" s="170">
        <v>40662.080772562498</v>
      </c>
      <c r="Z203" s="170">
        <v>25207.060016312498</v>
      </c>
      <c r="AA203" s="170">
        <v>31770.850913124999</v>
      </c>
      <c r="AB203" s="170">
        <v>23582.601394375</v>
      </c>
      <c r="AC203" s="8"/>
      <c r="AD203" s="170">
        <f>Y203*15</f>
        <v>609931.21158843744</v>
      </c>
      <c r="AE203" s="170">
        <f>Z203*15</f>
        <v>378105.90024468745</v>
      </c>
      <c r="AF203" s="170">
        <f>AA203*15</f>
        <v>476562.76369687502</v>
      </c>
      <c r="AG203" s="170">
        <f>AB203*15</f>
        <v>353739.02091562503</v>
      </c>
    </row>
    <row r="204" spans="13:33" x14ac:dyDescent="0.3">
      <c r="M204" s="225"/>
      <c r="N204" s="207"/>
      <c r="O204" s="182">
        <f>O74*O133</f>
        <v>789709089.08358991</v>
      </c>
      <c r="P204" s="182">
        <f t="shared" ref="P204:R204" si="124">P74*P133</f>
        <v>12226872.695177905</v>
      </c>
      <c r="Q204" s="182">
        <f t="shared" si="124"/>
        <v>6210177.3324915599</v>
      </c>
      <c r="R204" s="195">
        <f t="shared" si="124"/>
        <v>106508.13585570002</v>
      </c>
      <c r="T204" s="182">
        <f>O204-T$147</f>
        <v>789686792.93215787</v>
      </c>
      <c r="U204" s="182">
        <f t="shared" ref="U204:W219" si="125">P204-U$147</f>
        <v>12212153.322452093</v>
      </c>
      <c r="V204" s="182">
        <f t="shared" si="125"/>
        <v>6192240.0804834347</v>
      </c>
      <c r="W204" s="195">
        <f t="shared" si="125"/>
        <v>92585.149216325022</v>
      </c>
      <c r="X204" s="207"/>
      <c r="Y204" s="182">
        <f>O204-Y$203</f>
        <v>789668427.00281739</v>
      </c>
      <c r="Z204" s="182">
        <f t="shared" ref="Z204:AB219" si="126">P204-Z$203</f>
        <v>12201665.635161594</v>
      </c>
      <c r="AA204" s="182">
        <f t="shared" si="126"/>
        <v>6178406.4815784348</v>
      </c>
      <c r="AB204" s="195">
        <f t="shared" si="126"/>
        <v>82925.53446132502</v>
      </c>
      <c r="AC204" s="207"/>
      <c r="AD204" s="182">
        <f>O204-AD$203</f>
        <v>789099157.87200153</v>
      </c>
      <c r="AE204" s="182">
        <f t="shared" ref="AE204:AG219" si="127">P204-AE$203</f>
        <v>11848766.794933219</v>
      </c>
      <c r="AF204" s="182">
        <f t="shared" si="127"/>
        <v>5733614.5687946845</v>
      </c>
      <c r="AG204" s="184">
        <f t="shared" si="127"/>
        <v>-247230.88505992503</v>
      </c>
    </row>
    <row r="205" spans="13:33" x14ac:dyDescent="0.3">
      <c r="M205" s="222" t="s">
        <v>824</v>
      </c>
      <c r="O205" s="182">
        <f t="shared" ref="O205:R207" si="128">O75*O134</f>
        <v>884127542.35869002</v>
      </c>
      <c r="P205" s="182">
        <f t="shared" si="128"/>
        <v>13942236.048311364</v>
      </c>
      <c r="Q205" s="182">
        <f t="shared" si="128"/>
        <v>6841232.4472007994</v>
      </c>
      <c r="R205" s="195">
        <f t="shared" si="128"/>
        <v>115353.93792600003</v>
      </c>
      <c r="T205" s="182">
        <f>O205-T$147</f>
        <v>884105246.20725799</v>
      </c>
      <c r="U205" s="182">
        <f t="shared" si="125"/>
        <v>13927516.675585551</v>
      </c>
      <c r="V205" s="182">
        <f t="shared" si="125"/>
        <v>6823295.1951926742</v>
      </c>
      <c r="W205" s="195">
        <f t="shared" si="125"/>
        <v>101430.95128662503</v>
      </c>
      <c r="Y205" s="182">
        <f>O205-Y$203</f>
        <v>884086880.2779175</v>
      </c>
      <c r="Z205" s="182">
        <f t="shared" si="126"/>
        <v>13917028.988295052</v>
      </c>
      <c r="AA205" s="182">
        <f t="shared" si="126"/>
        <v>6809461.5962876743</v>
      </c>
      <c r="AB205" s="195">
        <f t="shared" si="126"/>
        <v>91771.336531625027</v>
      </c>
      <c r="AC205" s="101"/>
      <c r="AD205" s="182">
        <f>O205-AD$203</f>
        <v>883517611.14710164</v>
      </c>
      <c r="AE205" s="182">
        <f t="shared" si="127"/>
        <v>13564130.148066677</v>
      </c>
      <c r="AF205" s="182">
        <f t="shared" si="127"/>
        <v>6364669.6835039239</v>
      </c>
      <c r="AG205" s="184">
        <f t="shared" si="127"/>
        <v>-238385.08298962499</v>
      </c>
    </row>
    <row r="206" spans="13:33" x14ac:dyDescent="0.3">
      <c r="M206" s="222" t="s">
        <v>899</v>
      </c>
      <c r="O206" s="182">
        <f t="shared" si="128"/>
        <v>953092396.27267039</v>
      </c>
      <c r="P206" s="182">
        <f t="shared" si="128"/>
        <v>15248717.57071129</v>
      </c>
      <c r="Q206" s="182">
        <f t="shared" si="128"/>
        <v>7301960.0254972689</v>
      </c>
      <c r="R206" s="195">
        <f t="shared" si="128"/>
        <v>121583.97737121003</v>
      </c>
      <c r="T206" s="182">
        <f t="shared" ref="T206:W227" si="129">O206-T$147</f>
        <v>953070100.12123835</v>
      </c>
      <c r="U206" s="182">
        <f t="shared" si="125"/>
        <v>15233998.197985478</v>
      </c>
      <c r="V206" s="182">
        <f t="shared" si="125"/>
        <v>7284022.7734891437</v>
      </c>
      <c r="W206" s="195">
        <f t="shared" si="125"/>
        <v>107660.99073183503</v>
      </c>
      <c r="Y206" s="182">
        <f t="shared" ref="Y206:AB227" si="130">O206-Y$203</f>
        <v>953051734.19189787</v>
      </c>
      <c r="Z206" s="182">
        <f t="shared" si="126"/>
        <v>15223510.510694979</v>
      </c>
      <c r="AA206" s="182">
        <f t="shared" si="126"/>
        <v>7270189.1745841438</v>
      </c>
      <c r="AB206" s="195">
        <f t="shared" si="126"/>
        <v>98001.375976835028</v>
      </c>
      <c r="AC206" s="101"/>
      <c r="AD206" s="182">
        <f t="shared" ref="AD206:AG227" si="131">O206-AD$203</f>
        <v>952482465.06108201</v>
      </c>
      <c r="AE206" s="182">
        <f t="shared" si="127"/>
        <v>14870611.670466604</v>
      </c>
      <c r="AF206" s="182">
        <f t="shared" si="127"/>
        <v>6825397.2618003935</v>
      </c>
      <c r="AG206" s="184">
        <f t="shared" si="127"/>
        <v>-232155.04354441501</v>
      </c>
    </row>
    <row r="207" spans="13:33" x14ac:dyDescent="0.3">
      <c r="M207" s="111"/>
      <c r="N207" s="8"/>
      <c r="O207" s="194">
        <f t="shared" si="128"/>
        <v>997468710.62220097</v>
      </c>
      <c r="P207" s="194">
        <f t="shared" si="128"/>
        <v>16159986.333424382</v>
      </c>
      <c r="Q207" s="194">
        <f t="shared" si="128"/>
        <v>7626661.5093108807</v>
      </c>
      <c r="R207" s="196">
        <f t="shared" si="128"/>
        <v>125362.19491547519</v>
      </c>
      <c r="T207" s="194">
        <f t="shared" si="129"/>
        <v>997446414.47076893</v>
      </c>
      <c r="U207" s="194">
        <f t="shared" si="125"/>
        <v>16145266.960698569</v>
      </c>
      <c r="V207" s="194">
        <f t="shared" si="125"/>
        <v>7608724.2573027555</v>
      </c>
      <c r="W207" s="196">
        <f t="shared" si="125"/>
        <v>111439.20827610019</v>
      </c>
      <c r="Y207" s="194">
        <f t="shared" si="130"/>
        <v>997428048.54142845</v>
      </c>
      <c r="Z207" s="194">
        <f t="shared" si="126"/>
        <v>16134779.27340807</v>
      </c>
      <c r="AA207" s="194">
        <f t="shared" si="126"/>
        <v>7594890.6583977556</v>
      </c>
      <c r="AB207" s="196">
        <f t="shared" si="126"/>
        <v>101779.59352110019</v>
      </c>
      <c r="AC207" s="101"/>
      <c r="AD207" s="194">
        <f t="shared" si="131"/>
        <v>996858779.41061258</v>
      </c>
      <c r="AE207" s="194">
        <f t="shared" si="127"/>
        <v>15781880.433179695</v>
      </c>
      <c r="AF207" s="194">
        <f t="shared" si="127"/>
        <v>7150098.7456140053</v>
      </c>
      <c r="AG207" s="197">
        <f t="shared" si="127"/>
        <v>-228376.82600014983</v>
      </c>
    </row>
    <row r="208" spans="13:33" x14ac:dyDescent="0.3">
      <c r="M208" s="237"/>
      <c r="N208" s="207"/>
      <c r="O208" s="182">
        <f>O78*O133</f>
        <v>364223308.39442074</v>
      </c>
      <c r="P208" s="182">
        <f t="shared" ref="P208:R208" si="132">P78*P133</f>
        <v>5639180.4094883921</v>
      </c>
      <c r="Q208" s="182">
        <f t="shared" si="132"/>
        <v>2864208.3078730977</v>
      </c>
      <c r="R208" s="183">
        <f t="shared" si="132"/>
        <v>49122.830354279125</v>
      </c>
      <c r="T208" s="182">
        <f t="shared" si="129"/>
        <v>364201012.24298871</v>
      </c>
      <c r="U208" s="182">
        <f t="shared" si="125"/>
        <v>5624461.0367625793</v>
      </c>
      <c r="V208" s="182">
        <f t="shared" si="125"/>
        <v>2846271.0558649725</v>
      </c>
      <c r="W208" s="183">
        <f t="shared" si="125"/>
        <v>35199.843714904127</v>
      </c>
      <c r="Y208" s="182">
        <f t="shared" si="130"/>
        <v>364182646.31364816</v>
      </c>
      <c r="Z208" s="182">
        <f t="shared" si="126"/>
        <v>5613973.3494720794</v>
      </c>
      <c r="AA208" s="182">
        <f t="shared" si="126"/>
        <v>2832437.4569599726</v>
      </c>
      <c r="AB208" s="183">
        <f t="shared" si="126"/>
        <v>25540.228959904125</v>
      </c>
      <c r="AC208" s="101"/>
      <c r="AD208" s="182">
        <f t="shared" si="131"/>
        <v>363613377.1828323</v>
      </c>
      <c r="AE208" s="182">
        <f t="shared" si="127"/>
        <v>5261074.5092437044</v>
      </c>
      <c r="AF208" s="182">
        <f t="shared" si="127"/>
        <v>2387645.5441762228</v>
      </c>
      <c r="AG208" s="184">
        <f t="shared" si="127"/>
        <v>-304616.19056134589</v>
      </c>
    </row>
    <row r="209" spans="13:33" ht="28.8" x14ac:dyDescent="0.3">
      <c r="M209" s="222" t="s">
        <v>901</v>
      </c>
      <c r="O209" s="182">
        <f t="shared" ref="O209:R211" si="133">O79*O134</f>
        <v>407770232.06633615</v>
      </c>
      <c r="P209" s="182">
        <f t="shared" si="133"/>
        <v>6430326.57231378</v>
      </c>
      <c r="Q209" s="182">
        <f t="shared" si="133"/>
        <v>3155258.4994383752</v>
      </c>
      <c r="R209" s="183">
        <f t="shared" si="133"/>
        <v>53202.620418726321</v>
      </c>
      <c r="T209" s="182">
        <f t="shared" si="129"/>
        <v>407747935.91490412</v>
      </c>
      <c r="U209" s="182">
        <f t="shared" si="125"/>
        <v>6415607.1995879672</v>
      </c>
      <c r="V209" s="182">
        <f t="shared" si="125"/>
        <v>3137321.24743025</v>
      </c>
      <c r="W209" s="183">
        <f t="shared" si="125"/>
        <v>39279.633779351323</v>
      </c>
      <c r="Y209" s="182">
        <f t="shared" si="130"/>
        <v>407729569.98556358</v>
      </c>
      <c r="Z209" s="182">
        <f t="shared" si="126"/>
        <v>6405119.5122974673</v>
      </c>
      <c r="AA209" s="182">
        <f t="shared" si="126"/>
        <v>3123487.6485252501</v>
      </c>
      <c r="AB209" s="183">
        <f t="shared" si="126"/>
        <v>29620.019024351321</v>
      </c>
      <c r="AC209" s="101"/>
      <c r="AD209" s="182">
        <f t="shared" si="131"/>
        <v>407160300.85474771</v>
      </c>
      <c r="AE209" s="182">
        <f t="shared" si="127"/>
        <v>6052220.6720690923</v>
      </c>
      <c r="AF209" s="182">
        <f t="shared" si="127"/>
        <v>2678695.7357415003</v>
      </c>
      <c r="AG209" s="184">
        <f t="shared" si="127"/>
        <v>-300536.40049689868</v>
      </c>
    </row>
    <row r="210" spans="13:33" x14ac:dyDescent="0.3">
      <c r="M210" s="222"/>
      <c r="O210" s="182">
        <f t="shared" si="133"/>
        <v>439577650.2697109</v>
      </c>
      <c r="P210" s="182">
        <f t="shared" si="133"/>
        <v>7032891.5282228962</v>
      </c>
      <c r="Q210" s="182">
        <f t="shared" si="133"/>
        <v>3367751.5872796462</v>
      </c>
      <c r="R210" s="183">
        <f t="shared" si="133"/>
        <v>56075.989371330528</v>
      </c>
      <c r="T210" s="182">
        <f t="shared" si="129"/>
        <v>439555354.11827886</v>
      </c>
      <c r="U210" s="182">
        <f t="shared" si="125"/>
        <v>7018172.1554970834</v>
      </c>
      <c r="V210" s="182">
        <f t="shared" si="125"/>
        <v>3349814.335271521</v>
      </c>
      <c r="W210" s="183">
        <f t="shared" si="125"/>
        <v>42153.00273195553</v>
      </c>
      <c r="Y210" s="182">
        <f t="shared" si="130"/>
        <v>439536988.18893832</v>
      </c>
      <c r="Z210" s="182">
        <f t="shared" si="126"/>
        <v>7007684.4682065835</v>
      </c>
      <c r="AA210" s="182">
        <f t="shared" si="126"/>
        <v>3335980.7363665211</v>
      </c>
      <c r="AB210" s="183">
        <f t="shared" si="126"/>
        <v>32493.387976955528</v>
      </c>
      <c r="AC210" s="101"/>
      <c r="AD210" s="182">
        <f t="shared" si="131"/>
        <v>438967719.05812246</v>
      </c>
      <c r="AE210" s="182">
        <f t="shared" si="127"/>
        <v>6654785.6279782085</v>
      </c>
      <c r="AF210" s="182">
        <f t="shared" si="127"/>
        <v>2891188.8235827712</v>
      </c>
      <c r="AG210" s="184">
        <f t="shared" si="127"/>
        <v>-297663.0315442945</v>
      </c>
    </row>
    <row r="211" spans="13:33" x14ac:dyDescent="0.3">
      <c r="M211" s="111"/>
      <c r="N211" s="8"/>
      <c r="O211" s="194">
        <f t="shared" si="133"/>
        <v>460044538.96348661</v>
      </c>
      <c r="P211" s="194">
        <f t="shared" si="133"/>
        <v>7453179.6168113267</v>
      </c>
      <c r="Q211" s="194">
        <f t="shared" si="133"/>
        <v>3517507.8080322896</v>
      </c>
      <c r="R211" s="193">
        <f t="shared" si="133"/>
        <v>57818.548641356145</v>
      </c>
      <c r="T211" s="194">
        <f t="shared" si="129"/>
        <v>460022242.81205457</v>
      </c>
      <c r="U211" s="194">
        <f t="shared" si="125"/>
        <v>7438460.244085514</v>
      </c>
      <c r="V211" s="194">
        <f t="shared" si="125"/>
        <v>3499570.5560241644</v>
      </c>
      <c r="W211" s="193">
        <f t="shared" si="125"/>
        <v>43895.562001981147</v>
      </c>
      <c r="Y211" s="194">
        <f t="shared" si="130"/>
        <v>460003876.88271403</v>
      </c>
      <c r="Z211" s="194">
        <f t="shared" si="126"/>
        <v>7427972.5567950141</v>
      </c>
      <c r="AA211" s="194">
        <f t="shared" si="126"/>
        <v>3485736.9571191645</v>
      </c>
      <c r="AB211" s="193">
        <f t="shared" si="126"/>
        <v>34235.947246981144</v>
      </c>
      <c r="AC211" s="101"/>
      <c r="AD211" s="194">
        <f t="shared" si="131"/>
        <v>459434607.75189817</v>
      </c>
      <c r="AE211" s="194">
        <f t="shared" si="127"/>
        <v>7075073.716566639</v>
      </c>
      <c r="AF211" s="194">
        <f t="shared" si="127"/>
        <v>3040945.0443354147</v>
      </c>
      <c r="AG211" s="197">
        <f t="shared" si="127"/>
        <v>-295920.47227426886</v>
      </c>
    </row>
    <row r="212" spans="13:33" x14ac:dyDescent="0.3">
      <c r="M212" s="237"/>
      <c r="N212" s="207"/>
      <c r="O212" s="182">
        <f>O82*O133</f>
        <v>8295893.9808231145</v>
      </c>
      <c r="P212" s="195">
        <f t="shared" ref="P212:R212" si="134">P82*P133</f>
        <v>128443.29766284389</v>
      </c>
      <c r="Q212" s="183">
        <f t="shared" si="134"/>
        <v>65237.91287782383</v>
      </c>
      <c r="R212" s="184">
        <f t="shared" si="134"/>
        <v>1118.8679671641289</v>
      </c>
      <c r="T212" s="182">
        <f t="shared" si="129"/>
        <v>8273597.829391052</v>
      </c>
      <c r="U212" s="195">
        <f t="shared" si="125"/>
        <v>113723.92493703139</v>
      </c>
      <c r="V212" s="183">
        <f t="shared" si="125"/>
        <v>47300.660869698826</v>
      </c>
      <c r="W212" s="184">
        <f t="shared" si="125"/>
        <v>-12804.11867221087</v>
      </c>
      <c r="Y212" s="182">
        <f t="shared" si="130"/>
        <v>8255231.9000505516</v>
      </c>
      <c r="Z212" s="195">
        <f t="shared" si="126"/>
        <v>103236.2376465314</v>
      </c>
      <c r="AA212" s="183">
        <f t="shared" si="126"/>
        <v>33467.061964698834</v>
      </c>
      <c r="AB212" s="184">
        <f t="shared" si="126"/>
        <v>-22463.733427210871</v>
      </c>
      <c r="AC212" s="101"/>
      <c r="AD212" s="182">
        <f t="shared" si="131"/>
        <v>7685962.7692346768</v>
      </c>
      <c r="AE212" s="184">
        <f t="shared" si="127"/>
        <v>-249662.60258184356</v>
      </c>
      <c r="AF212" s="184">
        <f t="shared" si="127"/>
        <v>-411324.85081905121</v>
      </c>
      <c r="AG212" s="184">
        <f t="shared" si="127"/>
        <v>-352620.15294846089</v>
      </c>
    </row>
    <row r="213" spans="13:33" ht="28.8" x14ac:dyDescent="0.3">
      <c r="M213" s="222" t="s">
        <v>902</v>
      </c>
      <c r="O213" s="182">
        <f t="shared" ref="O213:R215" si="135">O83*O134</f>
        <v>9287759.832478039</v>
      </c>
      <c r="P213" s="195">
        <f t="shared" si="135"/>
        <v>146463.18968751087</v>
      </c>
      <c r="Q213" s="183">
        <f t="shared" si="135"/>
        <v>71867.146857844404</v>
      </c>
      <c r="R213" s="184">
        <f t="shared" si="135"/>
        <v>1211.7931179126304</v>
      </c>
      <c r="T213" s="182">
        <f t="shared" si="129"/>
        <v>9265463.6810459755</v>
      </c>
      <c r="U213" s="195">
        <f t="shared" si="125"/>
        <v>131743.81696169835</v>
      </c>
      <c r="V213" s="183">
        <f t="shared" si="125"/>
        <v>53929.894849719407</v>
      </c>
      <c r="W213" s="184">
        <f t="shared" si="125"/>
        <v>-12711.19352146237</v>
      </c>
      <c r="Y213" s="182">
        <f t="shared" si="130"/>
        <v>9247097.751705477</v>
      </c>
      <c r="Z213" s="195">
        <f t="shared" si="126"/>
        <v>121256.12967119837</v>
      </c>
      <c r="AA213" s="183">
        <f t="shared" si="126"/>
        <v>40096.295944719401</v>
      </c>
      <c r="AB213" s="184">
        <f t="shared" si="126"/>
        <v>-22370.808276462369</v>
      </c>
      <c r="AC213" s="101"/>
      <c r="AD213" s="182">
        <f t="shared" si="131"/>
        <v>8677828.6208896022</v>
      </c>
      <c r="AE213" s="184">
        <f t="shared" si="127"/>
        <v>-231642.71055717659</v>
      </c>
      <c r="AF213" s="184">
        <f t="shared" si="127"/>
        <v>-404695.61683903064</v>
      </c>
      <c r="AG213" s="184">
        <f t="shared" si="127"/>
        <v>-352527.22779771243</v>
      </c>
    </row>
    <row r="214" spans="13:33" x14ac:dyDescent="0.3">
      <c r="M214" s="222"/>
      <c r="O214" s="182">
        <f t="shared" si="135"/>
        <v>10012235.622844404</v>
      </c>
      <c r="P214" s="195">
        <f t="shared" si="135"/>
        <v>160187.77808032211</v>
      </c>
      <c r="Q214" s="183">
        <f t="shared" si="135"/>
        <v>76707.090067848811</v>
      </c>
      <c r="R214" s="184">
        <f t="shared" si="135"/>
        <v>1277.2396822845615</v>
      </c>
      <c r="T214" s="182">
        <f t="shared" si="129"/>
        <v>9989939.471412342</v>
      </c>
      <c r="U214" s="195">
        <f t="shared" si="125"/>
        <v>145468.4053545096</v>
      </c>
      <c r="V214" s="183">
        <f t="shared" si="125"/>
        <v>58769.838059723814</v>
      </c>
      <c r="W214" s="184">
        <f t="shared" si="125"/>
        <v>-12645.746957090438</v>
      </c>
      <c r="Y214" s="182">
        <f t="shared" si="130"/>
        <v>9971573.5420718417</v>
      </c>
      <c r="Z214" s="195">
        <f t="shared" si="126"/>
        <v>134980.71806400962</v>
      </c>
      <c r="AA214" s="183">
        <f t="shared" si="126"/>
        <v>44936.239154723808</v>
      </c>
      <c r="AB214" s="184">
        <f t="shared" si="126"/>
        <v>-22305.361712090438</v>
      </c>
      <c r="AC214" s="101"/>
      <c r="AD214" s="182">
        <f t="shared" si="131"/>
        <v>9402304.4112559669</v>
      </c>
      <c r="AE214" s="184">
        <f t="shared" si="127"/>
        <v>-217918.12216436534</v>
      </c>
      <c r="AF214" s="184">
        <f t="shared" si="127"/>
        <v>-399855.67362902622</v>
      </c>
      <c r="AG214" s="184">
        <f t="shared" si="127"/>
        <v>-352461.7812333405</v>
      </c>
    </row>
    <row r="215" spans="13:33" x14ac:dyDescent="0.3">
      <c r="M215" s="111"/>
      <c r="N215" s="8"/>
      <c r="O215" s="194">
        <f t="shared" si="135"/>
        <v>10478408.805086222</v>
      </c>
      <c r="P215" s="196">
        <f t="shared" si="135"/>
        <v>169760.65643262316</v>
      </c>
      <c r="Q215" s="193">
        <f t="shared" si="135"/>
        <v>80118.079155310785</v>
      </c>
      <c r="R215" s="197">
        <f t="shared" si="135"/>
        <v>1316.9298575870669</v>
      </c>
      <c r="T215" s="194">
        <f t="shared" si="129"/>
        <v>10456112.653654158</v>
      </c>
      <c r="U215" s="196">
        <f t="shared" si="125"/>
        <v>155041.28370681067</v>
      </c>
      <c r="V215" s="193">
        <f t="shared" si="125"/>
        <v>62180.827147185788</v>
      </c>
      <c r="W215" s="197">
        <f t="shared" si="125"/>
        <v>-12606.056781787933</v>
      </c>
      <c r="Y215" s="194">
        <f t="shared" si="130"/>
        <v>10437746.72431366</v>
      </c>
      <c r="Z215" s="196">
        <f t="shared" si="126"/>
        <v>144553.59641631067</v>
      </c>
      <c r="AA215" s="193">
        <f t="shared" si="126"/>
        <v>48347.228242185782</v>
      </c>
      <c r="AB215" s="197">
        <f t="shared" si="126"/>
        <v>-22265.671536787933</v>
      </c>
      <c r="AC215" s="101"/>
      <c r="AD215" s="194">
        <f t="shared" si="131"/>
        <v>9868477.5934977848</v>
      </c>
      <c r="AE215" s="197">
        <f t="shared" si="127"/>
        <v>-208345.24381206429</v>
      </c>
      <c r="AF215" s="197">
        <f t="shared" si="127"/>
        <v>-396444.6845415642</v>
      </c>
      <c r="AG215" s="197">
        <f t="shared" si="127"/>
        <v>-352422.09105803794</v>
      </c>
    </row>
    <row r="216" spans="13:33" x14ac:dyDescent="0.3">
      <c r="M216" s="237"/>
      <c r="N216" s="207"/>
      <c r="O216" s="182">
        <f>O86*O133</f>
        <v>2721337.5209820513</v>
      </c>
      <c r="P216" s="183">
        <f t="shared" ref="P216:R216" si="136">P86*P133</f>
        <v>42133.803307583054</v>
      </c>
      <c r="Q216" s="183">
        <f t="shared" si="136"/>
        <v>21400.271087765916</v>
      </c>
      <c r="R216" s="184">
        <f t="shared" si="136"/>
        <v>367.02703615874225</v>
      </c>
      <c r="T216" s="182">
        <f t="shared" si="129"/>
        <v>2699041.3695499888</v>
      </c>
      <c r="U216" s="183">
        <f t="shared" si="125"/>
        <v>27414.430581770554</v>
      </c>
      <c r="V216" s="184">
        <f t="shared" si="125"/>
        <v>3463.0190796409152</v>
      </c>
      <c r="W216" s="184">
        <f t="shared" si="125"/>
        <v>-13555.959603216257</v>
      </c>
      <c r="Y216" s="182">
        <f t="shared" si="130"/>
        <v>2680675.4402094889</v>
      </c>
      <c r="Z216" s="183">
        <f t="shared" si="126"/>
        <v>16926.743291270555</v>
      </c>
      <c r="AA216" s="184">
        <f t="shared" si="126"/>
        <v>-10370.579825359084</v>
      </c>
      <c r="AB216" s="184">
        <f t="shared" si="126"/>
        <v>-23215.574358216258</v>
      </c>
      <c r="AC216" s="101"/>
      <c r="AD216" s="182">
        <f t="shared" si="131"/>
        <v>2111406.3093936136</v>
      </c>
      <c r="AE216" s="184">
        <f t="shared" si="127"/>
        <v>-335972.09693710442</v>
      </c>
      <c r="AF216" s="184">
        <f t="shared" si="127"/>
        <v>-455162.49260910909</v>
      </c>
      <c r="AG216" s="184">
        <f t="shared" si="127"/>
        <v>-353371.99387946632</v>
      </c>
    </row>
    <row r="217" spans="13:33" ht="28.8" x14ac:dyDescent="0.3">
      <c r="M217" s="222" t="s">
        <v>903</v>
      </c>
      <c r="O217" s="182">
        <f t="shared" ref="O217:R219" si="137">O87*O134</f>
        <v>3046703.5109680453</v>
      </c>
      <c r="P217" s="183">
        <f t="shared" si="137"/>
        <v>48044.945422480952</v>
      </c>
      <c r="Q217" s="183">
        <f t="shared" si="137"/>
        <v>23574.887013053954</v>
      </c>
      <c r="R217" s="184">
        <f t="shared" si="137"/>
        <v>397.50967009299609</v>
      </c>
      <c r="T217" s="182">
        <f t="shared" si="129"/>
        <v>3024407.3595359828</v>
      </c>
      <c r="U217" s="183">
        <f t="shared" si="125"/>
        <v>33325.572696668452</v>
      </c>
      <c r="V217" s="184">
        <f t="shared" si="125"/>
        <v>5637.635004928954</v>
      </c>
      <c r="W217" s="184">
        <f t="shared" si="125"/>
        <v>-13525.476969282005</v>
      </c>
      <c r="Y217" s="182">
        <f t="shared" si="130"/>
        <v>3006041.4301954829</v>
      </c>
      <c r="Z217" s="183">
        <f t="shared" si="126"/>
        <v>22837.885406168454</v>
      </c>
      <c r="AA217" s="184">
        <f t="shared" si="126"/>
        <v>-8195.9639000710449</v>
      </c>
      <c r="AB217" s="184">
        <f t="shared" si="126"/>
        <v>-23185.091724282003</v>
      </c>
      <c r="AC217" s="101"/>
      <c r="AD217" s="182">
        <f t="shared" si="131"/>
        <v>2436772.2993796077</v>
      </c>
      <c r="AE217" s="184">
        <f t="shared" si="127"/>
        <v>-330060.95482220652</v>
      </c>
      <c r="AF217" s="184">
        <f t="shared" si="127"/>
        <v>-452987.87668382109</v>
      </c>
      <c r="AG217" s="184">
        <f t="shared" si="127"/>
        <v>-353341.51124553202</v>
      </c>
    </row>
    <row r="218" spans="13:33" x14ac:dyDescent="0.3">
      <c r="M218" s="222"/>
      <c r="O218" s="182">
        <f t="shared" si="137"/>
        <v>3284356.3975556223</v>
      </c>
      <c r="P218" s="183">
        <f t="shared" si="137"/>
        <v>52547.080748671106</v>
      </c>
      <c r="Q218" s="183">
        <f t="shared" si="137"/>
        <v>25162.554247863587</v>
      </c>
      <c r="R218" s="184">
        <f t="shared" si="137"/>
        <v>418.97838602118969</v>
      </c>
      <c r="T218" s="182">
        <f t="shared" si="129"/>
        <v>3262060.2461235598</v>
      </c>
      <c r="U218" s="183">
        <f t="shared" si="125"/>
        <v>37827.708022858606</v>
      </c>
      <c r="V218" s="184">
        <f t="shared" si="125"/>
        <v>7225.3022397385866</v>
      </c>
      <c r="W218" s="184">
        <f t="shared" si="125"/>
        <v>-13504.00825335381</v>
      </c>
      <c r="Y218" s="182">
        <f t="shared" si="130"/>
        <v>3243694.3167830599</v>
      </c>
      <c r="Z218" s="183">
        <f t="shared" si="126"/>
        <v>27340.020732358607</v>
      </c>
      <c r="AA218" s="184">
        <f t="shared" si="126"/>
        <v>-6608.2966652614123</v>
      </c>
      <c r="AB218" s="184">
        <f t="shared" si="126"/>
        <v>-23163.62300835381</v>
      </c>
      <c r="AC218" s="101"/>
      <c r="AD218" s="182">
        <f t="shared" si="131"/>
        <v>2674425.1859671846</v>
      </c>
      <c r="AE218" s="184">
        <f t="shared" si="127"/>
        <v>-325558.81949601637</v>
      </c>
      <c r="AF218" s="184">
        <f t="shared" si="127"/>
        <v>-451400.20944901143</v>
      </c>
      <c r="AG218" s="184">
        <f t="shared" si="127"/>
        <v>-353320.04252960387</v>
      </c>
    </row>
    <row r="219" spans="13:33" x14ac:dyDescent="0.3">
      <c r="M219" s="111"/>
      <c r="N219" s="8"/>
      <c r="O219" s="194">
        <f t="shared" si="137"/>
        <v>3437277.1768041044</v>
      </c>
      <c r="P219" s="193">
        <f t="shared" si="137"/>
        <v>55687.312904980419</v>
      </c>
      <c r="Q219" s="193">
        <f t="shared" si="137"/>
        <v>26281.475561085288</v>
      </c>
      <c r="R219" s="197">
        <f t="shared" si="137"/>
        <v>431.99812367872744</v>
      </c>
      <c r="T219" s="194">
        <f t="shared" si="129"/>
        <v>3414981.0253720419</v>
      </c>
      <c r="U219" s="193">
        <f t="shared" si="125"/>
        <v>40967.940179167919</v>
      </c>
      <c r="V219" s="197">
        <f t="shared" si="125"/>
        <v>8344.2235529602876</v>
      </c>
      <c r="W219" s="197">
        <f t="shared" si="125"/>
        <v>-13490.988515696272</v>
      </c>
      <c r="Y219" s="194">
        <f t="shared" si="130"/>
        <v>3396615.0960315419</v>
      </c>
      <c r="Z219" s="193">
        <f t="shared" si="126"/>
        <v>30480.252888667921</v>
      </c>
      <c r="AA219" s="197">
        <f t="shared" si="126"/>
        <v>-5489.3753520397113</v>
      </c>
      <c r="AB219" s="197">
        <f t="shared" si="126"/>
        <v>-23150.603270696272</v>
      </c>
      <c r="AC219" s="101"/>
      <c r="AD219" s="194">
        <f t="shared" si="131"/>
        <v>2827345.9652156672</v>
      </c>
      <c r="AE219" s="197">
        <f t="shared" si="127"/>
        <v>-322418.58733970701</v>
      </c>
      <c r="AF219" s="197">
        <f t="shared" si="127"/>
        <v>-450281.28813578974</v>
      </c>
      <c r="AG219" s="197">
        <f t="shared" si="127"/>
        <v>-353307.02279194631</v>
      </c>
    </row>
    <row r="220" spans="13:33" x14ac:dyDescent="0.3">
      <c r="M220" s="237"/>
      <c r="N220" s="207"/>
      <c r="O220" s="195">
        <f>O90*O133</f>
        <v>413017.8535907176</v>
      </c>
      <c r="P220" s="184">
        <f t="shared" ref="P220:R220" si="138">P90*P133</f>
        <v>6394.6544195780434</v>
      </c>
      <c r="Q220" s="184">
        <f t="shared" si="138"/>
        <v>3247.922744893086</v>
      </c>
      <c r="R220" s="184">
        <f t="shared" si="138"/>
        <v>55.703755052531122</v>
      </c>
      <c r="T220" s="195">
        <f t="shared" si="129"/>
        <v>390721.7021586551</v>
      </c>
      <c r="U220" s="184">
        <f t="shared" si="129"/>
        <v>-8324.7183062344557</v>
      </c>
      <c r="V220" s="184">
        <f t="shared" si="129"/>
        <v>-14689.329263231914</v>
      </c>
      <c r="W220" s="184">
        <f t="shared" si="129"/>
        <v>-13867.282884322469</v>
      </c>
      <c r="Y220" s="195">
        <f t="shared" si="130"/>
        <v>372355.77281815512</v>
      </c>
      <c r="Z220" s="184">
        <f t="shared" si="130"/>
        <v>-18812.405596734454</v>
      </c>
      <c r="AA220" s="184">
        <f t="shared" si="130"/>
        <v>-28522.928168231912</v>
      </c>
      <c r="AB220" s="184">
        <f t="shared" si="130"/>
        <v>-23526.897639322469</v>
      </c>
      <c r="AC220" s="101"/>
      <c r="AD220" s="184">
        <f t="shared" si="131"/>
        <v>-196913.35799771984</v>
      </c>
      <c r="AE220" s="184">
        <f t="shared" si="131"/>
        <v>-371711.24582510942</v>
      </c>
      <c r="AF220" s="184">
        <f t="shared" si="131"/>
        <v>-473314.84095198195</v>
      </c>
      <c r="AG220" s="184">
        <f t="shared" si="131"/>
        <v>-353683.31716057251</v>
      </c>
    </row>
    <row r="221" spans="13:33" ht="28.8" x14ac:dyDescent="0.3">
      <c r="M221" s="222" t="s">
        <v>904</v>
      </c>
      <c r="O221" s="195">
        <f t="shared" ref="O221:R223" si="139">O91*O134</f>
        <v>462398.70465359493</v>
      </c>
      <c r="P221" s="184">
        <f t="shared" si="139"/>
        <v>7291.7894532668424</v>
      </c>
      <c r="Q221" s="184">
        <f t="shared" si="139"/>
        <v>3577.9645698860181</v>
      </c>
      <c r="R221" s="184">
        <f t="shared" si="139"/>
        <v>60.330109535298014</v>
      </c>
      <c r="T221" s="195">
        <f t="shared" si="129"/>
        <v>440102.55322153243</v>
      </c>
      <c r="U221" s="184">
        <f t="shared" si="129"/>
        <v>-7427.5832725456576</v>
      </c>
      <c r="V221" s="184">
        <f t="shared" si="129"/>
        <v>-14359.287438238982</v>
      </c>
      <c r="W221" s="184">
        <f t="shared" si="129"/>
        <v>-13862.656529839702</v>
      </c>
      <c r="Y221" s="195">
        <f t="shared" si="130"/>
        <v>421736.62388103246</v>
      </c>
      <c r="Z221" s="184">
        <f t="shared" si="130"/>
        <v>-17915.270563045655</v>
      </c>
      <c r="AA221" s="184">
        <f t="shared" si="130"/>
        <v>-28192.886343238981</v>
      </c>
      <c r="AB221" s="184">
        <f t="shared" si="130"/>
        <v>-23522.271284839702</v>
      </c>
      <c r="AC221" s="101"/>
      <c r="AD221" s="184">
        <f t="shared" si="131"/>
        <v>-147532.5069348425</v>
      </c>
      <c r="AE221" s="184">
        <f t="shared" si="131"/>
        <v>-370814.11079142062</v>
      </c>
      <c r="AF221" s="184">
        <f t="shared" si="131"/>
        <v>-472984.79912698898</v>
      </c>
      <c r="AG221" s="184">
        <f t="shared" si="131"/>
        <v>-353678.69080608973</v>
      </c>
    </row>
    <row r="222" spans="13:33" x14ac:dyDescent="0.3">
      <c r="M222" s="222"/>
      <c r="O222" s="195">
        <f t="shared" si="139"/>
        <v>498467.32325060671</v>
      </c>
      <c r="P222" s="184">
        <f t="shared" si="139"/>
        <v>7975.0792894820042</v>
      </c>
      <c r="Q222" s="184">
        <f t="shared" si="139"/>
        <v>3818.9250933350718</v>
      </c>
      <c r="R222" s="184">
        <f t="shared" si="139"/>
        <v>63.58842016514285</v>
      </c>
      <c r="T222" s="195">
        <f t="shared" si="129"/>
        <v>476171.17181854422</v>
      </c>
      <c r="U222" s="184">
        <f t="shared" si="129"/>
        <v>-6744.2934363304958</v>
      </c>
      <c r="V222" s="184">
        <f t="shared" si="129"/>
        <v>-14118.326914789928</v>
      </c>
      <c r="W222" s="184">
        <f t="shared" si="129"/>
        <v>-13859.398219209857</v>
      </c>
      <c r="Y222" s="195">
        <f t="shared" si="130"/>
        <v>457805.24247804424</v>
      </c>
      <c r="Z222" s="184">
        <f t="shared" si="130"/>
        <v>-17231.980726830494</v>
      </c>
      <c r="AA222" s="184">
        <f t="shared" si="130"/>
        <v>-27951.925819789929</v>
      </c>
      <c r="AB222" s="184">
        <f t="shared" si="130"/>
        <v>-23519.012974209858</v>
      </c>
      <c r="AC222" s="101"/>
      <c r="AD222" s="184">
        <f t="shared" si="131"/>
        <v>-111463.88833783072</v>
      </c>
      <c r="AE222" s="184">
        <f t="shared" si="131"/>
        <v>-370130.82095520548</v>
      </c>
      <c r="AF222" s="184">
        <f t="shared" si="131"/>
        <v>-472743.83860353992</v>
      </c>
      <c r="AG222" s="184">
        <f t="shared" si="131"/>
        <v>-353675.43249545991</v>
      </c>
    </row>
    <row r="223" spans="13:33" x14ac:dyDescent="0.3">
      <c r="M223" s="111"/>
      <c r="N223" s="8"/>
      <c r="O223" s="196">
        <f t="shared" si="139"/>
        <v>521676.13565541111</v>
      </c>
      <c r="P223" s="197">
        <f t="shared" si="139"/>
        <v>8451.6728523809525</v>
      </c>
      <c r="Q223" s="197">
        <f t="shared" si="139"/>
        <v>3988.7439693695906</v>
      </c>
      <c r="R223" s="197">
        <f t="shared" si="139"/>
        <v>65.564427940793536</v>
      </c>
      <c r="T223" s="196">
        <f t="shared" si="129"/>
        <v>499379.98422334861</v>
      </c>
      <c r="U223" s="197">
        <f t="shared" si="129"/>
        <v>-6267.6998734315475</v>
      </c>
      <c r="V223" s="197">
        <f t="shared" si="129"/>
        <v>-13948.50803875541</v>
      </c>
      <c r="W223" s="197">
        <f t="shared" si="129"/>
        <v>-13857.422211434206</v>
      </c>
      <c r="Y223" s="196">
        <f t="shared" si="130"/>
        <v>481014.05488284864</v>
      </c>
      <c r="Z223" s="197">
        <f t="shared" si="130"/>
        <v>-16755.387163931548</v>
      </c>
      <c r="AA223" s="197">
        <f t="shared" si="130"/>
        <v>-27782.106943755411</v>
      </c>
      <c r="AB223" s="197">
        <f t="shared" si="130"/>
        <v>-23517.036966434207</v>
      </c>
      <c r="AC223" s="101"/>
      <c r="AD223" s="197">
        <f t="shared" si="131"/>
        <v>-88255.075933026324</v>
      </c>
      <c r="AE223" s="197">
        <f t="shared" si="131"/>
        <v>-369654.22739230649</v>
      </c>
      <c r="AF223" s="197">
        <f t="shared" si="131"/>
        <v>-472574.01972750545</v>
      </c>
      <c r="AG223" s="197">
        <f t="shared" si="131"/>
        <v>-353673.45648768422</v>
      </c>
    </row>
    <row r="224" spans="13:33" x14ac:dyDescent="0.3">
      <c r="M224" s="237"/>
      <c r="N224" s="207"/>
      <c r="O224" s="184">
        <f>O94*O133</f>
        <v>2369.1272672507698</v>
      </c>
      <c r="P224" s="184">
        <f t="shared" ref="P224:R224" si="140">P94*P133</f>
        <v>36.680618085533709</v>
      </c>
      <c r="Q224" s="184">
        <f t="shared" si="140"/>
        <v>18.63053199747468</v>
      </c>
      <c r="R224" s="184">
        <f t="shared" si="140"/>
        <v>0.3195244075671001</v>
      </c>
      <c r="T224" s="184">
        <f t="shared" si="129"/>
        <v>-19927.02416481173</v>
      </c>
      <c r="U224" s="184">
        <f t="shared" si="129"/>
        <v>-14682.692107726967</v>
      </c>
      <c r="V224" s="184">
        <f t="shared" si="129"/>
        <v>-17918.621476127526</v>
      </c>
      <c r="W224" s="184">
        <f t="shared" si="129"/>
        <v>-13922.667114967433</v>
      </c>
      <c r="Y224" s="184">
        <f t="shared" si="130"/>
        <v>-38292.953505311729</v>
      </c>
      <c r="Z224" s="184">
        <f t="shared" si="130"/>
        <v>-25170.379398226964</v>
      </c>
      <c r="AA224" s="184">
        <f t="shared" si="130"/>
        <v>-31752.220381127525</v>
      </c>
      <c r="AB224" s="184">
        <f t="shared" si="130"/>
        <v>-23582.281869967432</v>
      </c>
      <c r="AC224" s="101"/>
      <c r="AD224" s="184">
        <f t="shared" si="131"/>
        <v>-607562.08432118664</v>
      </c>
      <c r="AE224" s="184">
        <f t="shared" si="131"/>
        <v>-378069.2196266019</v>
      </c>
      <c r="AF224" s="184">
        <f t="shared" si="131"/>
        <v>-476544.13316487754</v>
      </c>
      <c r="AG224" s="184">
        <f t="shared" si="131"/>
        <v>-353738.70139121747</v>
      </c>
    </row>
    <row r="225" spans="1:33" x14ac:dyDescent="0.3">
      <c r="M225" s="222" t="s">
        <v>825</v>
      </c>
      <c r="O225" s="184">
        <f t="shared" ref="O225:R227" si="141">O95*O134</f>
        <v>2652.3826270760696</v>
      </c>
      <c r="P225" s="184">
        <f t="shared" si="141"/>
        <v>41.826708144934081</v>
      </c>
      <c r="Q225" s="184">
        <f t="shared" si="141"/>
        <v>20.5236973416024</v>
      </c>
      <c r="R225" s="184">
        <f t="shared" si="141"/>
        <v>0.3460618137780001</v>
      </c>
      <c r="T225" s="184">
        <f t="shared" si="129"/>
        <v>-19643.76880498643</v>
      </c>
      <c r="U225" s="184">
        <f t="shared" si="129"/>
        <v>-14677.546017667566</v>
      </c>
      <c r="V225" s="184">
        <f t="shared" si="129"/>
        <v>-17916.728310783397</v>
      </c>
      <c r="W225" s="184">
        <f t="shared" si="129"/>
        <v>-13922.640577561222</v>
      </c>
      <c r="Y225" s="184">
        <f t="shared" si="130"/>
        <v>-38009.698145486429</v>
      </c>
      <c r="Z225" s="184">
        <f t="shared" si="130"/>
        <v>-25165.233308167564</v>
      </c>
      <c r="AA225" s="184">
        <f t="shared" si="130"/>
        <v>-31750.327215783396</v>
      </c>
      <c r="AB225" s="184">
        <f t="shared" si="130"/>
        <v>-23582.255332561221</v>
      </c>
      <c r="AC225" s="101"/>
      <c r="AD225" s="184">
        <f t="shared" si="131"/>
        <v>-607278.82896136132</v>
      </c>
      <c r="AE225" s="184">
        <f t="shared" si="131"/>
        <v>-378064.07353654254</v>
      </c>
      <c r="AF225" s="184">
        <f t="shared" si="131"/>
        <v>-476542.2399995334</v>
      </c>
      <c r="AG225" s="184">
        <f t="shared" si="131"/>
        <v>-353738.67485381127</v>
      </c>
    </row>
    <row r="226" spans="1:33" x14ac:dyDescent="0.3">
      <c r="M226" s="221" t="s">
        <v>900</v>
      </c>
      <c r="O226" s="184">
        <f t="shared" si="141"/>
        <v>2859.2771888180114</v>
      </c>
      <c r="P226" s="184">
        <f t="shared" si="141"/>
        <v>45.746152712133863</v>
      </c>
      <c r="Q226" s="184">
        <f t="shared" si="141"/>
        <v>21.905880076491808</v>
      </c>
      <c r="R226" s="184">
        <f t="shared" si="141"/>
        <v>0.36475193211363011</v>
      </c>
      <c r="T226" s="184">
        <f t="shared" si="129"/>
        <v>-19436.874243244489</v>
      </c>
      <c r="U226" s="184">
        <f t="shared" si="129"/>
        <v>-14673.626573100366</v>
      </c>
      <c r="V226" s="184">
        <f t="shared" si="129"/>
        <v>-17915.34612804851</v>
      </c>
      <c r="W226" s="184">
        <f t="shared" si="129"/>
        <v>-13922.621887442887</v>
      </c>
      <c r="Y226" s="184">
        <f t="shared" si="130"/>
        <v>-37802.803583744484</v>
      </c>
      <c r="Z226" s="184">
        <f t="shared" si="130"/>
        <v>-25161.313863600364</v>
      </c>
      <c r="AA226" s="184">
        <f t="shared" si="130"/>
        <v>-31748.945033048509</v>
      </c>
      <c r="AB226" s="184">
        <f t="shared" si="130"/>
        <v>-23582.236642442887</v>
      </c>
      <c r="AC226" s="101"/>
      <c r="AD226" s="184">
        <f t="shared" si="131"/>
        <v>-607071.93439961947</v>
      </c>
      <c r="AE226" s="184">
        <f t="shared" si="131"/>
        <v>-378060.1540919753</v>
      </c>
      <c r="AF226" s="184">
        <f t="shared" si="131"/>
        <v>-476540.8578167985</v>
      </c>
      <c r="AG226" s="184">
        <f t="shared" si="131"/>
        <v>-353738.65616369294</v>
      </c>
    </row>
    <row r="227" spans="1:33" x14ac:dyDescent="0.3">
      <c r="A227" s="86"/>
      <c r="M227" s="8"/>
      <c r="N227" s="8"/>
      <c r="O227" s="197">
        <f t="shared" si="141"/>
        <v>2992.4061318666027</v>
      </c>
      <c r="P227" s="197">
        <f t="shared" si="141"/>
        <v>48.479959000273148</v>
      </c>
      <c r="Q227" s="197">
        <f t="shared" si="141"/>
        <v>22.879984527932642</v>
      </c>
      <c r="R227" s="197">
        <f t="shared" si="141"/>
        <v>0.37608658474642559</v>
      </c>
      <c r="T227" s="197">
        <f t="shared" si="129"/>
        <v>-19303.745300195897</v>
      </c>
      <c r="U227" s="197">
        <f t="shared" si="129"/>
        <v>-14670.892766812227</v>
      </c>
      <c r="V227" s="197">
        <f t="shared" si="129"/>
        <v>-17914.372023597069</v>
      </c>
      <c r="W227" s="197">
        <f t="shared" si="129"/>
        <v>-13922.610552790253</v>
      </c>
      <c r="Y227" s="184">
        <f t="shared" si="130"/>
        <v>-37669.674640695899</v>
      </c>
      <c r="Z227" s="184">
        <f t="shared" si="130"/>
        <v>-25158.580057312225</v>
      </c>
      <c r="AA227" s="184">
        <f t="shared" si="130"/>
        <v>-31747.970928597068</v>
      </c>
      <c r="AB227" s="184">
        <f t="shared" si="130"/>
        <v>-23582.225307790253</v>
      </c>
      <c r="AC227" s="101"/>
      <c r="AD227" s="184">
        <f t="shared" si="131"/>
        <v>-606938.80545657082</v>
      </c>
      <c r="AE227" s="184">
        <f t="shared" si="131"/>
        <v>-378057.4202856872</v>
      </c>
      <c r="AF227" s="184">
        <f t="shared" si="131"/>
        <v>-476539.88371234707</v>
      </c>
      <c r="AG227" s="184">
        <f t="shared" si="131"/>
        <v>-353738.64482904028</v>
      </c>
    </row>
    <row r="229" spans="1:33" x14ac:dyDescent="0.3">
      <c r="M229" s="221" t="s">
        <v>857</v>
      </c>
      <c r="T229" s="221" t="s">
        <v>944</v>
      </c>
      <c r="Y229" s="221" t="s">
        <v>943</v>
      </c>
      <c r="AD229" s="221" t="s">
        <v>945</v>
      </c>
    </row>
    <row r="230" spans="1:33" x14ac:dyDescent="0.3">
      <c r="M230" s="176" t="s">
        <v>821</v>
      </c>
      <c r="N230" s="8"/>
      <c r="O230" s="188" t="s">
        <v>826</v>
      </c>
      <c r="P230" s="188" t="s">
        <v>827</v>
      </c>
      <c r="Q230" s="188" t="s">
        <v>828</v>
      </c>
      <c r="R230" s="188" t="s">
        <v>829</v>
      </c>
      <c r="T230" s="170">
        <v>22296.151432062499</v>
      </c>
      <c r="U230" s="170">
        <v>14719.3727258125</v>
      </c>
      <c r="V230" s="170">
        <v>17937.252008125</v>
      </c>
      <c r="W230" s="170">
        <v>13922.986639375</v>
      </c>
      <c r="X230" s="8"/>
      <c r="Y230" s="170">
        <v>40662.080772562498</v>
      </c>
      <c r="Z230" s="170">
        <v>25207.060016312498</v>
      </c>
      <c r="AA230" s="170">
        <v>31770.850913124999</v>
      </c>
      <c r="AB230" s="170">
        <v>23582.601394375</v>
      </c>
      <c r="AC230" s="8"/>
      <c r="AD230" s="170">
        <f>Y230*15</f>
        <v>609931.21158843744</v>
      </c>
      <c r="AE230" s="170">
        <f>Z230*15</f>
        <v>378105.90024468745</v>
      </c>
      <c r="AF230" s="170">
        <f>AA230*15</f>
        <v>476562.76369687502</v>
      </c>
      <c r="AG230" s="170">
        <f>AB230*15</f>
        <v>353739.02091562503</v>
      </c>
    </row>
    <row r="231" spans="1:33" x14ac:dyDescent="0.3">
      <c r="M231" s="225"/>
      <c r="N231" s="207"/>
      <c r="O231" s="182">
        <f>O74*(O133+O137)</f>
        <v>808461196.50121498</v>
      </c>
      <c r="P231" s="182">
        <f t="shared" ref="P231:R231" si="142">P74*(P133+P137)</f>
        <v>13374696.987802904</v>
      </c>
      <c r="Q231" s="182">
        <f t="shared" si="142"/>
        <v>24829287.541241564</v>
      </c>
      <c r="R231" s="182">
        <f t="shared" si="142"/>
        <v>3652774.5946057006</v>
      </c>
      <c r="T231" s="182">
        <f>O231-T$147</f>
        <v>808438900.34978294</v>
      </c>
      <c r="U231" s="182">
        <f t="shared" ref="U231:W246" si="143">P231-U$147</f>
        <v>13359977.615077091</v>
      </c>
      <c r="V231" s="182">
        <f t="shared" si="143"/>
        <v>24811350.289233439</v>
      </c>
      <c r="W231" s="182">
        <f t="shared" si="143"/>
        <v>3638851.6079663257</v>
      </c>
      <c r="X231" s="207"/>
      <c r="Y231" s="182">
        <f>O231-Y$230</f>
        <v>808420534.42044246</v>
      </c>
      <c r="Z231" s="182">
        <f t="shared" ref="Z231:AB246" si="144">P231-Z$230</f>
        <v>13349489.927786592</v>
      </c>
      <c r="AA231" s="182">
        <f t="shared" si="144"/>
        <v>24797516.690328438</v>
      </c>
      <c r="AB231" s="182">
        <f t="shared" si="144"/>
        <v>3629191.9932113257</v>
      </c>
      <c r="AC231" s="207"/>
      <c r="AD231" s="182">
        <f>O231-AD$230</f>
        <v>807851265.2896266</v>
      </c>
      <c r="AE231" s="182">
        <f t="shared" ref="AE231:AG246" si="145">P231-AE$230</f>
        <v>12996591.087558217</v>
      </c>
      <c r="AF231" s="182">
        <f t="shared" si="145"/>
        <v>24352724.777544688</v>
      </c>
      <c r="AG231" s="182">
        <f t="shared" si="145"/>
        <v>3299035.5736900754</v>
      </c>
    </row>
    <row r="232" spans="1:33" x14ac:dyDescent="0.3">
      <c r="M232" s="222" t="s">
        <v>824</v>
      </c>
      <c r="O232" s="182">
        <f t="shared" ref="O232:R234" si="146">O75*(O134+O138)</f>
        <v>904311956.22949004</v>
      </c>
      <c r="P232" s="182">
        <f t="shared" si="146"/>
        <v>15196907.919111362</v>
      </c>
      <c r="Q232" s="182">
        <f t="shared" si="146"/>
        <v>26877797.217200797</v>
      </c>
      <c r="R232" s="182">
        <f t="shared" si="146"/>
        <v>3991218.707926</v>
      </c>
      <c r="T232" s="182">
        <f>O232-T$147</f>
        <v>904289660.078058</v>
      </c>
      <c r="U232" s="182">
        <f t="shared" si="143"/>
        <v>15182188.546385549</v>
      </c>
      <c r="V232" s="182">
        <f t="shared" si="143"/>
        <v>26859859.965192672</v>
      </c>
      <c r="W232" s="182">
        <f t="shared" si="143"/>
        <v>3977295.7212866251</v>
      </c>
      <c r="Y232" s="182">
        <f>O232-Y$230</f>
        <v>904271294.14871752</v>
      </c>
      <c r="Z232" s="182">
        <f t="shared" si="144"/>
        <v>15171700.85909505</v>
      </c>
      <c r="AA232" s="182">
        <f t="shared" si="144"/>
        <v>26846026.366287671</v>
      </c>
      <c r="AB232" s="182">
        <f t="shared" si="144"/>
        <v>3967636.1065316251</v>
      </c>
      <c r="AC232" s="101"/>
      <c r="AD232" s="182">
        <f>O232-AD$230</f>
        <v>903702025.01790166</v>
      </c>
      <c r="AE232" s="182">
        <f t="shared" si="145"/>
        <v>14818802.018866675</v>
      </c>
      <c r="AF232" s="182">
        <f t="shared" si="145"/>
        <v>26401234.453503922</v>
      </c>
      <c r="AG232" s="182">
        <f t="shared" si="145"/>
        <v>3637479.6870103749</v>
      </c>
    </row>
    <row r="233" spans="1:33" x14ac:dyDescent="0.3">
      <c r="A233" s="86"/>
      <c r="M233" s="222" t="s">
        <v>899</v>
      </c>
      <c r="O233" s="182">
        <f t="shared" si="146"/>
        <v>974134037.73761857</v>
      </c>
      <c r="P233" s="182">
        <f t="shared" si="146"/>
        <v>16574528.519159388</v>
      </c>
      <c r="Q233" s="182">
        <f t="shared" si="146"/>
        <v>28298541.990732271</v>
      </c>
      <c r="R233" s="182">
        <f t="shared" si="146"/>
        <v>4234451.1676062103</v>
      </c>
      <c r="T233" s="182">
        <f t="shared" ref="T233:W254" si="147">O233-T$147</f>
        <v>974111741.58618653</v>
      </c>
      <c r="U233" s="182">
        <f t="shared" si="143"/>
        <v>16559809.146433575</v>
      </c>
      <c r="V233" s="182">
        <f t="shared" si="143"/>
        <v>28280604.738724146</v>
      </c>
      <c r="W233" s="182">
        <f t="shared" si="143"/>
        <v>4220528.1809668355</v>
      </c>
      <c r="Y233" s="182">
        <f t="shared" ref="Y233:AB254" si="148">O233-Y$230</f>
        <v>974093375.65684605</v>
      </c>
      <c r="Z233" s="182">
        <f t="shared" si="144"/>
        <v>16549321.459143076</v>
      </c>
      <c r="AA233" s="182">
        <f t="shared" si="144"/>
        <v>28266771.139819145</v>
      </c>
      <c r="AB233" s="182">
        <f t="shared" si="144"/>
        <v>4210868.5662118355</v>
      </c>
      <c r="AC233" s="101"/>
      <c r="AD233" s="182">
        <f t="shared" ref="AD233:AG254" si="149">O233-AD$230</f>
        <v>973524106.52603018</v>
      </c>
      <c r="AE233" s="182">
        <f t="shared" si="145"/>
        <v>16196422.618914701</v>
      </c>
      <c r="AF233" s="182">
        <f t="shared" si="145"/>
        <v>27821979.227035396</v>
      </c>
      <c r="AG233" s="182">
        <f t="shared" si="145"/>
        <v>3880712.1466905852</v>
      </c>
    </row>
    <row r="234" spans="1:33" x14ac:dyDescent="0.3">
      <c r="M234" s="111"/>
      <c r="N234" s="8"/>
      <c r="O234" s="194">
        <f t="shared" si="146"/>
        <v>1018823096.9653814</v>
      </c>
      <c r="P234" s="194">
        <f t="shared" si="146"/>
        <v>17522727.941794816</v>
      </c>
      <c r="Q234" s="194">
        <f t="shared" si="146"/>
        <v>29132413.732338779</v>
      </c>
      <c r="R234" s="194">
        <f t="shared" si="146"/>
        <v>4395376.0744433757</v>
      </c>
      <c r="T234" s="194">
        <f t="shared" si="147"/>
        <v>1018800800.8139493</v>
      </c>
      <c r="U234" s="194">
        <f t="shared" si="143"/>
        <v>17508008.569069006</v>
      </c>
      <c r="V234" s="194">
        <f t="shared" si="143"/>
        <v>29114476.480330653</v>
      </c>
      <c r="W234" s="194">
        <f t="shared" si="143"/>
        <v>4381453.0878040008</v>
      </c>
      <c r="Y234" s="194">
        <f t="shared" si="148"/>
        <v>1018782434.8846089</v>
      </c>
      <c r="Z234" s="194">
        <f t="shared" si="144"/>
        <v>17497520.881778505</v>
      </c>
      <c r="AA234" s="194">
        <f t="shared" si="144"/>
        <v>29100642.881425653</v>
      </c>
      <c r="AB234" s="194">
        <f t="shared" si="144"/>
        <v>4371793.4730490008</v>
      </c>
      <c r="AC234" s="101"/>
      <c r="AD234" s="194">
        <f t="shared" si="149"/>
        <v>1018213165.753793</v>
      </c>
      <c r="AE234" s="194">
        <f t="shared" si="145"/>
        <v>17144622.04155013</v>
      </c>
      <c r="AF234" s="194">
        <f t="shared" si="145"/>
        <v>28655850.968641903</v>
      </c>
      <c r="AG234" s="194">
        <f t="shared" si="145"/>
        <v>4041637.0535277505</v>
      </c>
    </row>
    <row r="235" spans="1:33" x14ac:dyDescent="0.3">
      <c r="M235" s="237"/>
      <c r="N235" s="207"/>
      <c r="O235" s="182">
        <f>O78*(O133+O137)</f>
        <v>372872005.36071843</v>
      </c>
      <c r="P235" s="182">
        <f t="shared" ref="P235:R235" si="150">P78*(P133+P137)</f>
        <v>6168570.7471385533</v>
      </c>
      <c r="Q235" s="182">
        <f t="shared" si="150"/>
        <v>11451565.365471104</v>
      </c>
      <c r="R235" s="182">
        <f t="shared" si="150"/>
        <v>1684703.4763272845</v>
      </c>
      <c r="T235" s="182">
        <f t="shared" si="147"/>
        <v>372849709.20928639</v>
      </c>
      <c r="U235" s="182">
        <f t="shared" si="143"/>
        <v>6153851.3744127406</v>
      </c>
      <c r="V235" s="182">
        <f t="shared" si="143"/>
        <v>11433628.113462979</v>
      </c>
      <c r="W235" s="182">
        <f t="shared" si="143"/>
        <v>1670780.4896879094</v>
      </c>
      <c r="Y235" s="182">
        <f t="shared" si="148"/>
        <v>372831343.27994585</v>
      </c>
      <c r="Z235" s="182">
        <f t="shared" si="144"/>
        <v>6143363.6871222407</v>
      </c>
      <c r="AA235" s="182">
        <f t="shared" si="144"/>
        <v>11419794.51455798</v>
      </c>
      <c r="AB235" s="182">
        <f t="shared" si="144"/>
        <v>1661120.8749329094</v>
      </c>
      <c r="AC235" s="101"/>
      <c r="AD235" s="182">
        <f t="shared" si="149"/>
        <v>372262074.14912999</v>
      </c>
      <c r="AE235" s="182">
        <f t="shared" si="145"/>
        <v>5790464.8468938656</v>
      </c>
      <c r="AF235" s="182">
        <f t="shared" si="145"/>
        <v>10975002.601774229</v>
      </c>
      <c r="AG235" s="182">
        <f t="shared" si="145"/>
        <v>1330964.4554116596</v>
      </c>
    </row>
    <row r="236" spans="1:33" ht="28.8" x14ac:dyDescent="0.3">
      <c r="M236" s="222" t="s">
        <v>901</v>
      </c>
      <c r="O236" s="182">
        <f t="shared" ref="O236:R238" si="151">O79*(O134+O138)</f>
        <v>417079525.95651555</v>
      </c>
      <c r="P236" s="182">
        <f t="shared" si="151"/>
        <v>7008996.2951891897</v>
      </c>
      <c r="Q236" s="182">
        <f t="shared" si="151"/>
        <v>12396362.610139614</v>
      </c>
      <c r="R236" s="182">
        <f t="shared" si="151"/>
        <v>1840797.9627199664</v>
      </c>
      <c r="T236" s="182">
        <f t="shared" si="147"/>
        <v>417057229.80508351</v>
      </c>
      <c r="U236" s="182">
        <f t="shared" si="143"/>
        <v>6994276.922463377</v>
      </c>
      <c r="V236" s="182">
        <f t="shared" si="143"/>
        <v>12378425.358131489</v>
      </c>
      <c r="W236" s="182">
        <f t="shared" si="143"/>
        <v>1826874.9760805913</v>
      </c>
      <c r="Y236" s="182">
        <f t="shared" si="148"/>
        <v>417038863.87574297</v>
      </c>
      <c r="Z236" s="182">
        <f t="shared" si="144"/>
        <v>6983789.2351728771</v>
      </c>
      <c r="AA236" s="182">
        <f t="shared" si="144"/>
        <v>12364591.75922649</v>
      </c>
      <c r="AB236" s="182">
        <f t="shared" si="144"/>
        <v>1817215.3613255913</v>
      </c>
      <c r="AC236" s="101"/>
      <c r="AD236" s="182">
        <f t="shared" si="149"/>
        <v>416469594.74492711</v>
      </c>
      <c r="AE236" s="182">
        <f t="shared" si="145"/>
        <v>6630890.394944502</v>
      </c>
      <c r="AF236" s="182">
        <f t="shared" si="145"/>
        <v>11919799.846442739</v>
      </c>
      <c r="AG236" s="182">
        <f t="shared" si="145"/>
        <v>1487058.9418043415</v>
      </c>
    </row>
    <row r="237" spans="1:33" x14ac:dyDescent="0.3">
      <c r="M237" s="222"/>
      <c r="O237" s="182">
        <f t="shared" si="151"/>
        <v>449282307.81304258</v>
      </c>
      <c r="P237" s="182">
        <f t="shared" si="151"/>
        <v>7644371.4473785404</v>
      </c>
      <c r="Q237" s="182">
        <f t="shared" si="151"/>
        <v>13051627.148629611</v>
      </c>
      <c r="R237" s="182">
        <f t="shared" si="151"/>
        <v>1952979.6919139957</v>
      </c>
      <c r="T237" s="182">
        <f t="shared" si="147"/>
        <v>449260011.66161054</v>
      </c>
      <c r="U237" s="182">
        <f t="shared" si="143"/>
        <v>7629652.0746527277</v>
      </c>
      <c r="V237" s="182">
        <f t="shared" si="143"/>
        <v>13033689.896621486</v>
      </c>
      <c r="W237" s="182">
        <f t="shared" si="143"/>
        <v>1939056.7052746206</v>
      </c>
      <c r="Y237" s="182">
        <f t="shared" si="148"/>
        <v>449241645.73227</v>
      </c>
      <c r="Z237" s="182">
        <f t="shared" si="144"/>
        <v>7619164.3873622278</v>
      </c>
      <c r="AA237" s="182">
        <f t="shared" si="144"/>
        <v>13019856.297716487</v>
      </c>
      <c r="AB237" s="182">
        <f t="shared" si="144"/>
        <v>1929397.0905196206</v>
      </c>
      <c r="AC237" s="101"/>
      <c r="AD237" s="182">
        <f t="shared" si="149"/>
        <v>448672376.60145414</v>
      </c>
      <c r="AE237" s="182">
        <f t="shared" si="145"/>
        <v>7266265.5471338527</v>
      </c>
      <c r="AF237" s="182">
        <f t="shared" si="145"/>
        <v>12575064.384932736</v>
      </c>
      <c r="AG237" s="182">
        <f t="shared" si="145"/>
        <v>1599240.6709983707</v>
      </c>
    </row>
    <row r="238" spans="1:33" x14ac:dyDescent="0.3">
      <c r="M238" s="111"/>
      <c r="N238" s="8"/>
      <c r="O238" s="194">
        <f t="shared" si="151"/>
        <v>469893438.1975975</v>
      </c>
      <c r="P238" s="194">
        <f t="shared" si="151"/>
        <v>8081692.3994910717</v>
      </c>
      <c r="Q238" s="194">
        <f t="shared" si="151"/>
        <v>13436218.802319432</v>
      </c>
      <c r="R238" s="194">
        <f t="shared" si="151"/>
        <v>2027200.1900461784</v>
      </c>
      <c r="T238" s="194">
        <f t="shared" si="147"/>
        <v>469871142.04616547</v>
      </c>
      <c r="U238" s="194">
        <f t="shared" si="143"/>
        <v>8066973.026765259</v>
      </c>
      <c r="V238" s="194">
        <f t="shared" si="143"/>
        <v>13418281.550311306</v>
      </c>
      <c r="W238" s="194">
        <f t="shared" si="143"/>
        <v>2013277.2034068033</v>
      </c>
      <c r="Y238" s="194">
        <f t="shared" si="148"/>
        <v>469852776.11682492</v>
      </c>
      <c r="Z238" s="194">
        <f t="shared" si="144"/>
        <v>8056485.3394747591</v>
      </c>
      <c r="AA238" s="194">
        <f t="shared" si="144"/>
        <v>13404447.951406308</v>
      </c>
      <c r="AB238" s="194">
        <f t="shared" si="144"/>
        <v>2003617.5886518033</v>
      </c>
      <c r="AC238" s="101"/>
      <c r="AD238" s="194">
        <f t="shared" si="149"/>
        <v>469283506.98600906</v>
      </c>
      <c r="AE238" s="194">
        <f t="shared" si="145"/>
        <v>7703586.499246384</v>
      </c>
      <c r="AF238" s="194">
        <f t="shared" si="145"/>
        <v>12959656.038622556</v>
      </c>
      <c r="AG238" s="194">
        <f t="shared" si="145"/>
        <v>1673461.1691305535</v>
      </c>
    </row>
    <row r="239" spans="1:33" x14ac:dyDescent="0.3">
      <c r="M239" s="237"/>
      <c r="N239" s="207"/>
      <c r="O239" s="182">
        <f>O82*(O133+O137)</f>
        <v>8492884.8692452647</v>
      </c>
      <c r="P239" s="195">
        <f t="shared" ref="P239:R239" si="152">P82*(P133+P137)</f>
        <v>140501.1918568695</v>
      </c>
      <c r="Q239" s="195">
        <f t="shared" si="152"/>
        <v>260831.6656207426</v>
      </c>
      <c r="R239" s="183">
        <f t="shared" si="152"/>
        <v>38372.397116332882</v>
      </c>
      <c r="T239" s="182">
        <f t="shared" si="147"/>
        <v>8470588.7178132012</v>
      </c>
      <c r="U239" s="195">
        <f t="shared" si="143"/>
        <v>125781.819131057</v>
      </c>
      <c r="V239" s="195">
        <f t="shared" si="143"/>
        <v>242894.41361261759</v>
      </c>
      <c r="W239" s="183">
        <f t="shared" si="143"/>
        <v>24449.410476957884</v>
      </c>
      <c r="Y239" s="182">
        <f t="shared" si="148"/>
        <v>8452222.7884727027</v>
      </c>
      <c r="Z239" s="195">
        <f t="shared" si="144"/>
        <v>115294.13184055701</v>
      </c>
      <c r="AA239" s="195">
        <f t="shared" si="144"/>
        <v>229060.8147076176</v>
      </c>
      <c r="AB239" s="183">
        <f t="shared" si="144"/>
        <v>14789.795721957882</v>
      </c>
      <c r="AC239" s="101"/>
      <c r="AD239" s="182">
        <f t="shared" si="149"/>
        <v>7882953.657656827</v>
      </c>
      <c r="AE239" s="184">
        <f t="shared" si="145"/>
        <v>-237604.70838781795</v>
      </c>
      <c r="AF239" s="184">
        <f t="shared" si="145"/>
        <v>-215731.09807613242</v>
      </c>
      <c r="AG239" s="184">
        <f t="shared" si="145"/>
        <v>-315366.62379929214</v>
      </c>
    </row>
    <row r="240" spans="1:33" ht="28.8" x14ac:dyDescent="0.3">
      <c r="M240" s="222" t="s">
        <v>902</v>
      </c>
      <c r="O240" s="182">
        <f t="shared" ref="O240:R242" si="153">O83*(O134+O138)</f>
        <v>9499797.1001907922</v>
      </c>
      <c r="P240" s="195">
        <f t="shared" si="153"/>
        <v>159643.51769026485</v>
      </c>
      <c r="Q240" s="195">
        <f t="shared" si="153"/>
        <v>282351.25976669439</v>
      </c>
      <c r="R240" s="183">
        <f t="shared" si="153"/>
        <v>41927.752526762633</v>
      </c>
      <c r="T240" s="182">
        <f t="shared" si="147"/>
        <v>9477500.9487587288</v>
      </c>
      <c r="U240" s="195">
        <f t="shared" si="143"/>
        <v>144924.14496445237</v>
      </c>
      <c r="V240" s="195">
        <f t="shared" si="143"/>
        <v>264414.00775856938</v>
      </c>
      <c r="W240" s="183">
        <f t="shared" si="143"/>
        <v>28004.765887387635</v>
      </c>
      <c r="Y240" s="182">
        <f t="shared" si="148"/>
        <v>9459135.0194182303</v>
      </c>
      <c r="Z240" s="195">
        <f t="shared" si="144"/>
        <v>134436.45767395236</v>
      </c>
      <c r="AA240" s="195">
        <f t="shared" si="144"/>
        <v>250580.40885356939</v>
      </c>
      <c r="AB240" s="183">
        <f t="shared" si="144"/>
        <v>18345.151132387633</v>
      </c>
      <c r="AC240" s="101"/>
      <c r="AD240" s="182">
        <f t="shared" si="149"/>
        <v>8889865.8886023555</v>
      </c>
      <c r="AE240" s="184">
        <f t="shared" si="145"/>
        <v>-218462.3825544226</v>
      </c>
      <c r="AF240" s="184">
        <f t="shared" si="145"/>
        <v>-194211.50393018062</v>
      </c>
      <c r="AG240" s="184">
        <f t="shared" si="145"/>
        <v>-311811.26838886237</v>
      </c>
    </row>
    <row r="241" spans="1:33" x14ac:dyDescent="0.3">
      <c r="M241" s="222"/>
      <c r="O241" s="182">
        <f t="shared" si="153"/>
        <v>10233278.066433685</v>
      </c>
      <c r="P241" s="195">
        <f t="shared" si="153"/>
        <v>174115.42209376939</v>
      </c>
      <c r="Q241" s="195">
        <f t="shared" si="153"/>
        <v>297276.18361264246</v>
      </c>
      <c r="R241" s="183">
        <f t="shared" si="153"/>
        <v>44482.909515703235</v>
      </c>
      <c r="T241" s="182">
        <f t="shared" si="147"/>
        <v>10210981.915001623</v>
      </c>
      <c r="U241" s="195">
        <f t="shared" si="143"/>
        <v>159396.04936795688</v>
      </c>
      <c r="V241" s="195">
        <f t="shared" si="143"/>
        <v>279338.93160451745</v>
      </c>
      <c r="W241" s="183">
        <f t="shared" si="143"/>
        <v>30559.922876328237</v>
      </c>
      <c r="Y241" s="182">
        <f t="shared" si="148"/>
        <v>10192615.985661123</v>
      </c>
      <c r="Z241" s="195">
        <f t="shared" si="144"/>
        <v>148908.3620774569</v>
      </c>
      <c r="AA241" s="195">
        <f t="shared" si="144"/>
        <v>265505.33269951749</v>
      </c>
      <c r="AB241" s="183">
        <f t="shared" si="144"/>
        <v>20900.308121328235</v>
      </c>
      <c r="AC241" s="101"/>
      <c r="AD241" s="182">
        <f t="shared" si="149"/>
        <v>9623346.8548452482</v>
      </c>
      <c r="AE241" s="184">
        <f t="shared" si="145"/>
        <v>-203990.47815091806</v>
      </c>
      <c r="AF241" s="184">
        <f t="shared" si="145"/>
        <v>-179286.58008423256</v>
      </c>
      <c r="AG241" s="184">
        <f t="shared" si="145"/>
        <v>-309256.11139992182</v>
      </c>
    </row>
    <row r="242" spans="1:33" x14ac:dyDescent="0.3">
      <c r="M242" s="111"/>
      <c r="N242" s="8"/>
      <c r="O242" s="194">
        <f t="shared" si="153"/>
        <v>10702736.633621331</v>
      </c>
      <c r="P242" s="196">
        <f t="shared" si="153"/>
        <v>184076.2570285546</v>
      </c>
      <c r="Q242" s="196">
        <f t="shared" si="153"/>
        <v>306036.00625821884</v>
      </c>
      <c r="R242" s="193">
        <f t="shared" si="153"/>
        <v>46173.425662027665</v>
      </c>
      <c r="T242" s="194">
        <f t="shared" si="147"/>
        <v>10680440.482189268</v>
      </c>
      <c r="U242" s="196">
        <f t="shared" si="143"/>
        <v>169356.88430274208</v>
      </c>
      <c r="V242" s="196">
        <f t="shared" si="143"/>
        <v>288098.75425009383</v>
      </c>
      <c r="W242" s="193">
        <f t="shared" si="143"/>
        <v>32250.439022652667</v>
      </c>
      <c r="Y242" s="194">
        <f t="shared" si="148"/>
        <v>10662074.552848769</v>
      </c>
      <c r="Z242" s="196">
        <f t="shared" si="144"/>
        <v>158869.1970122421</v>
      </c>
      <c r="AA242" s="196">
        <f t="shared" si="144"/>
        <v>274265.15534509387</v>
      </c>
      <c r="AB242" s="193">
        <f t="shared" si="144"/>
        <v>22590.824267652664</v>
      </c>
      <c r="AC242" s="101"/>
      <c r="AD242" s="194">
        <f t="shared" si="149"/>
        <v>10092805.422032895</v>
      </c>
      <c r="AE242" s="197">
        <f t="shared" si="145"/>
        <v>-194029.64321613286</v>
      </c>
      <c r="AF242" s="197">
        <f t="shared" si="145"/>
        <v>-170526.75743865618</v>
      </c>
      <c r="AG242" s="197">
        <f t="shared" si="145"/>
        <v>-307565.59525359736</v>
      </c>
    </row>
    <row r="243" spans="1:33" x14ac:dyDescent="0.3">
      <c r="M243" s="237"/>
      <c r="N243" s="207"/>
      <c r="O243" s="182">
        <f>O86*(O133+O137)</f>
        <v>2785957.2831431869</v>
      </c>
      <c r="P243" s="183">
        <f t="shared" ref="P243:R243" si="154">P86*(P133+P137)</f>
        <v>46089.205819968804</v>
      </c>
      <c r="Q243" s="195">
        <f t="shared" si="154"/>
        <v>85561.724867118421</v>
      </c>
      <c r="R243" s="183">
        <f t="shared" si="154"/>
        <v>12587.461253011243</v>
      </c>
      <c r="T243" s="182">
        <f t="shared" si="147"/>
        <v>2763661.1317111244</v>
      </c>
      <c r="U243" s="183">
        <f t="shared" si="143"/>
        <v>31369.833094156304</v>
      </c>
      <c r="V243" s="183">
        <f t="shared" si="143"/>
        <v>67624.472858993424</v>
      </c>
      <c r="W243" s="184">
        <f t="shared" si="143"/>
        <v>-1335.5253863637572</v>
      </c>
      <c r="Y243" s="182">
        <f t="shared" si="148"/>
        <v>2745295.2023706245</v>
      </c>
      <c r="Z243" s="183">
        <f t="shared" si="144"/>
        <v>20882.145803656305</v>
      </c>
      <c r="AA243" s="183">
        <f t="shared" si="144"/>
        <v>53790.873953993418</v>
      </c>
      <c r="AB243" s="184">
        <f t="shared" si="144"/>
        <v>-10995.140141363758</v>
      </c>
      <c r="AC243" s="101"/>
      <c r="AD243" s="182">
        <f t="shared" si="149"/>
        <v>2176026.0715547493</v>
      </c>
      <c r="AE243" s="184">
        <f t="shared" si="145"/>
        <v>-332016.69442471862</v>
      </c>
      <c r="AF243" s="184">
        <f t="shared" si="145"/>
        <v>-391001.03882975661</v>
      </c>
      <c r="AG243" s="184">
        <f t="shared" si="145"/>
        <v>-341151.55966261378</v>
      </c>
    </row>
    <row r="244" spans="1:33" ht="28.8" x14ac:dyDescent="0.3">
      <c r="M244" s="222" t="s">
        <v>903</v>
      </c>
      <c r="O244" s="182">
        <f t="shared" ref="O244:R246" si="155">O87*(O134+O138)</f>
        <v>3116259.0011668224</v>
      </c>
      <c r="P244" s="183">
        <f t="shared" si="155"/>
        <v>52368.544689257753</v>
      </c>
      <c r="Q244" s="195">
        <f t="shared" si="155"/>
        <v>92620.889210473935</v>
      </c>
      <c r="R244" s="183">
        <f t="shared" si="155"/>
        <v>13753.739667512997</v>
      </c>
      <c r="T244" s="182">
        <f t="shared" si="147"/>
        <v>3093962.8497347599</v>
      </c>
      <c r="U244" s="183">
        <f t="shared" si="143"/>
        <v>37649.171963445253</v>
      </c>
      <c r="V244" s="183">
        <f t="shared" si="143"/>
        <v>74683.637202348938</v>
      </c>
      <c r="W244" s="184">
        <f t="shared" si="143"/>
        <v>-169.24697186200319</v>
      </c>
      <c r="Y244" s="182">
        <f t="shared" si="148"/>
        <v>3075596.92039426</v>
      </c>
      <c r="Z244" s="183">
        <f t="shared" si="144"/>
        <v>27161.484672945255</v>
      </c>
      <c r="AA244" s="183">
        <f t="shared" si="144"/>
        <v>60850.038297348932</v>
      </c>
      <c r="AB244" s="184">
        <f t="shared" si="144"/>
        <v>-9828.8617268620037</v>
      </c>
      <c r="AC244" s="101"/>
      <c r="AD244" s="182">
        <f t="shared" si="149"/>
        <v>2506327.7895783847</v>
      </c>
      <c r="AE244" s="184">
        <f t="shared" si="145"/>
        <v>-325737.35555542971</v>
      </c>
      <c r="AF244" s="184">
        <f t="shared" si="145"/>
        <v>-383941.8744864011</v>
      </c>
      <c r="AG244" s="184">
        <f t="shared" si="145"/>
        <v>-339985.28124811203</v>
      </c>
    </row>
    <row r="245" spans="1:33" x14ac:dyDescent="0.3">
      <c r="M245" s="222"/>
      <c r="O245" s="182">
        <f t="shared" si="155"/>
        <v>3356865.8940438339</v>
      </c>
      <c r="P245" s="183">
        <f t="shared" si="155"/>
        <v>57115.82527702325</v>
      </c>
      <c r="Q245" s="195">
        <f t="shared" si="155"/>
        <v>97516.775700063401</v>
      </c>
      <c r="R245" s="183">
        <f t="shared" si="155"/>
        <v>14591.918723570998</v>
      </c>
      <c r="T245" s="182">
        <f t="shared" si="147"/>
        <v>3334569.7426117714</v>
      </c>
      <c r="U245" s="183">
        <f t="shared" si="143"/>
        <v>42396.45255121075</v>
      </c>
      <c r="V245" s="183">
        <f t="shared" si="143"/>
        <v>79579.523691938404</v>
      </c>
      <c r="W245" s="184">
        <f t="shared" si="143"/>
        <v>668.93208419599796</v>
      </c>
      <c r="Y245" s="182">
        <f t="shared" si="148"/>
        <v>3316203.8132712715</v>
      </c>
      <c r="Z245" s="183">
        <f t="shared" si="144"/>
        <v>31908.765260710752</v>
      </c>
      <c r="AA245" s="183">
        <f t="shared" si="144"/>
        <v>65745.924786938398</v>
      </c>
      <c r="AB245" s="184">
        <f t="shared" si="144"/>
        <v>-8990.6826708040026</v>
      </c>
      <c r="AC245" s="101"/>
      <c r="AD245" s="182">
        <f t="shared" si="149"/>
        <v>2746934.6824553963</v>
      </c>
      <c r="AE245" s="184">
        <f t="shared" si="145"/>
        <v>-320990.0749676642</v>
      </c>
      <c r="AF245" s="184">
        <f t="shared" si="145"/>
        <v>-379045.98799681163</v>
      </c>
      <c r="AG245" s="184">
        <f t="shared" si="145"/>
        <v>-339147.10219205404</v>
      </c>
    </row>
    <row r="246" spans="1:33" x14ac:dyDescent="0.3">
      <c r="M246" s="111"/>
      <c r="N246" s="8"/>
      <c r="O246" s="194">
        <f t="shared" si="155"/>
        <v>3510864.3921427038</v>
      </c>
      <c r="P246" s="193">
        <f t="shared" si="155"/>
        <v>60383.320487424935</v>
      </c>
      <c r="Q246" s="196">
        <f t="shared" si="155"/>
        <v>100390.29772163942</v>
      </c>
      <c r="R246" s="193">
        <f t="shared" si="155"/>
        <v>15146.465952531871</v>
      </c>
      <c r="T246" s="194">
        <f t="shared" si="147"/>
        <v>3488568.2407106413</v>
      </c>
      <c r="U246" s="193">
        <f t="shared" si="143"/>
        <v>45663.947761612435</v>
      </c>
      <c r="V246" s="193">
        <f t="shared" si="143"/>
        <v>82453.045713514424</v>
      </c>
      <c r="W246" s="197">
        <f t="shared" si="143"/>
        <v>1223.4793131568713</v>
      </c>
      <c r="Y246" s="194">
        <f t="shared" si="148"/>
        <v>3470202.3113701413</v>
      </c>
      <c r="Z246" s="193">
        <f t="shared" si="144"/>
        <v>35176.260471112437</v>
      </c>
      <c r="AA246" s="193">
        <f t="shared" si="144"/>
        <v>68619.446808514418</v>
      </c>
      <c r="AB246" s="197">
        <f t="shared" si="144"/>
        <v>-8436.1354418431292</v>
      </c>
      <c r="AC246" s="101"/>
      <c r="AD246" s="194">
        <f t="shared" si="149"/>
        <v>2900933.1805542661</v>
      </c>
      <c r="AE246" s="197">
        <f t="shared" si="145"/>
        <v>-317722.57975726249</v>
      </c>
      <c r="AF246" s="197">
        <f t="shared" si="145"/>
        <v>-376172.46597523557</v>
      </c>
      <c r="AG246" s="197">
        <f t="shared" si="145"/>
        <v>-338592.55496309313</v>
      </c>
    </row>
    <row r="247" spans="1:33" x14ac:dyDescent="0.3">
      <c r="M247" s="237"/>
      <c r="N247" s="207"/>
      <c r="O247" s="195">
        <f>O90*(O133+O137)</f>
        <v>422825.20577013545</v>
      </c>
      <c r="P247" s="184">
        <f t="shared" ref="P247:R247" si="156">P90*(P133+P137)</f>
        <v>6994.9665246209179</v>
      </c>
      <c r="Q247" s="183">
        <f t="shared" si="156"/>
        <v>12985.717384069338</v>
      </c>
      <c r="R247" s="184">
        <f t="shared" si="156"/>
        <v>1910.4011129787816</v>
      </c>
      <c r="T247" s="195">
        <f t="shared" si="147"/>
        <v>400529.05433807295</v>
      </c>
      <c r="U247" s="184">
        <f t="shared" si="147"/>
        <v>-7724.4062011915821</v>
      </c>
      <c r="V247" s="184">
        <f t="shared" si="147"/>
        <v>-4951.5346240556628</v>
      </c>
      <c r="W247" s="184">
        <f t="shared" si="147"/>
        <v>-12012.585526396218</v>
      </c>
      <c r="Y247" s="195">
        <f t="shared" si="148"/>
        <v>382163.12499757297</v>
      </c>
      <c r="Z247" s="184">
        <f t="shared" si="148"/>
        <v>-18212.093491691579</v>
      </c>
      <c r="AA247" s="184">
        <f t="shared" si="148"/>
        <v>-18785.13352905566</v>
      </c>
      <c r="AB247" s="184">
        <f t="shared" si="148"/>
        <v>-21672.200281396217</v>
      </c>
      <c r="AC247" s="101"/>
      <c r="AD247" s="184">
        <f t="shared" si="149"/>
        <v>-187106.00581830199</v>
      </c>
      <c r="AE247" s="184">
        <f t="shared" si="149"/>
        <v>-371110.93372006656</v>
      </c>
      <c r="AF247" s="184">
        <f t="shared" si="149"/>
        <v>-463577.04631280567</v>
      </c>
      <c r="AG247" s="184">
        <f t="shared" si="149"/>
        <v>-351828.61980264628</v>
      </c>
    </row>
    <row r="248" spans="1:33" ht="28.8" x14ac:dyDescent="0.3">
      <c r="M248" s="222" t="s">
        <v>904</v>
      </c>
      <c r="O248" s="195">
        <f t="shared" ref="O248:R250" si="157">O91*(O134+O138)</f>
        <v>472955.1531080234</v>
      </c>
      <c r="P248" s="184">
        <f t="shared" si="157"/>
        <v>7947.9828416952423</v>
      </c>
      <c r="Q248" s="183">
        <f t="shared" si="157"/>
        <v>14057.087944596016</v>
      </c>
      <c r="R248" s="184">
        <f t="shared" si="157"/>
        <v>2087.4073842452981</v>
      </c>
      <c r="T248" s="195">
        <f t="shared" si="147"/>
        <v>450659.0016759609</v>
      </c>
      <c r="U248" s="184">
        <f t="shared" si="147"/>
        <v>-6771.3898841172577</v>
      </c>
      <c r="V248" s="184">
        <f t="shared" si="147"/>
        <v>-3880.1640635289841</v>
      </c>
      <c r="W248" s="184">
        <f t="shared" si="147"/>
        <v>-11835.579255129702</v>
      </c>
      <c r="Y248" s="195">
        <f t="shared" si="148"/>
        <v>432293.07233546092</v>
      </c>
      <c r="Z248" s="184">
        <f t="shared" si="148"/>
        <v>-17259.077174617254</v>
      </c>
      <c r="AA248" s="184">
        <f t="shared" si="148"/>
        <v>-17713.762968528983</v>
      </c>
      <c r="AB248" s="184">
        <f t="shared" si="148"/>
        <v>-21495.1940101297</v>
      </c>
      <c r="AC248" s="101"/>
      <c r="AD248" s="184">
        <f t="shared" si="149"/>
        <v>-136976.05848041404</v>
      </c>
      <c r="AE248" s="184">
        <f t="shared" si="149"/>
        <v>-370157.9174029922</v>
      </c>
      <c r="AF248" s="184">
        <f t="shared" si="149"/>
        <v>-462505.675752279</v>
      </c>
      <c r="AG248" s="184">
        <f t="shared" si="149"/>
        <v>-351651.61353137973</v>
      </c>
    </row>
    <row r="249" spans="1:33" x14ac:dyDescent="0.3">
      <c r="A249" s="145"/>
      <c r="B249" s="145"/>
      <c r="C249" s="145"/>
      <c r="D249" s="145"/>
      <c r="E249" s="163"/>
      <c r="F249" s="181"/>
      <c r="G249" s="163"/>
      <c r="H249" s="145"/>
      <c r="I249" s="145"/>
      <c r="M249" s="222"/>
      <c r="O249" s="195">
        <f t="shared" si="157"/>
        <v>509472.10173677455</v>
      </c>
      <c r="P249" s="184">
        <f t="shared" si="157"/>
        <v>8668.4784155203597</v>
      </c>
      <c r="Q249" s="183">
        <f t="shared" si="157"/>
        <v>14800.137461152977</v>
      </c>
      <c r="R249" s="184">
        <f t="shared" si="157"/>
        <v>2214.6179606580481</v>
      </c>
      <c r="T249" s="195">
        <f t="shared" si="147"/>
        <v>487175.95030471205</v>
      </c>
      <c r="U249" s="184">
        <f t="shared" si="147"/>
        <v>-6050.8943102921403</v>
      </c>
      <c r="V249" s="184">
        <f t="shared" si="147"/>
        <v>-3137.1145469720232</v>
      </c>
      <c r="W249" s="184">
        <f t="shared" si="147"/>
        <v>-11708.368678716952</v>
      </c>
      <c r="Y249" s="195">
        <f t="shared" si="148"/>
        <v>468810.02096421208</v>
      </c>
      <c r="Z249" s="184">
        <f t="shared" si="148"/>
        <v>-16538.581600792138</v>
      </c>
      <c r="AA249" s="184">
        <f t="shared" si="148"/>
        <v>-16970.71345197202</v>
      </c>
      <c r="AB249" s="184">
        <f t="shared" si="148"/>
        <v>-21367.983433716952</v>
      </c>
      <c r="AC249" s="101"/>
      <c r="AD249" s="184">
        <f t="shared" si="149"/>
        <v>-100459.10985166288</v>
      </c>
      <c r="AE249" s="184">
        <f t="shared" si="149"/>
        <v>-369437.42182916711</v>
      </c>
      <c r="AF249" s="184">
        <f t="shared" si="149"/>
        <v>-461762.62623572204</v>
      </c>
      <c r="AG249" s="184">
        <f t="shared" si="149"/>
        <v>-351524.40295496699</v>
      </c>
    </row>
    <row r="250" spans="1:33" x14ac:dyDescent="0.3">
      <c r="A250" s="146"/>
      <c r="B250" s="145"/>
      <c r="C250" s="145"/>
      <c r="D250" s="145"/>
      <c r="E250" s="356"/>
      <c r="F250" s="211"/>
      <c r="G250" s="211"/>
      <c r="H250" s="145"/>
      <c r="I250" s="145"/>
      <c r="M250" s="111"/>
      <c r="N250" s="8"/>
      <c r="O250" s="196">
        <f t="shared" si="157"/>
        <v>532844.47971289442</v>
      </c>
      <c r="P250" s="197">
        <f t="shared" si="157"/>
        <v>9164.3867135586897</v>
      </c>
      <c r="Q250" s="193">
        <f t="shared" si="157"/>
        <v>15236.252382013181</v>
      </c>
      <c r="R250" s="197">
        <f t="shared" si="157"/>
        <v>2298.7816869338858</v>
      </c>
      <c r="T250" s="196">
        <f t="shared" si="147"/>
        <v>510548.32828083192</v>
      </c>
      <c r="U250" s="197">
        <f t="shared" si="147"/>
        <v>-5554.9860122538103</v>
      </c>
      <c r="V250" s="197">
        <f t="shared" si="147"/>
        <v>-2700.9996261118195</v>
      </c>
      <c r="W250" s="197">
        <f t="shared" si="147"/>
        <v>-11624.204952441114</v>
      </c>
      <c r="Y250" s="196">
        <f t="shared" si="148"/>
        <v>492182.39894033194</v>
      </c>
      <c r="Z250" s="197">
        <f t="shared" si="148"/>
        <v>-16042.673302753808</v>
      </c>
      <c r="AA250" s="197">
        <f t="shared" si="148"/>
        <v>-16534.59853111182</v>
      </c>
      <c r="AB250" s="197">
        <f t="shared" si="148"/>
        <v>-21283.819707441115</v>
      </c>
      <c r="AC250" s="101"/>
      <c r="AD250" s="197">
        <f t="shared" si="149"/>
        <v>-77086.731875543017</v>
      </c>
      <c r="AE250" s="197">
        <f t="shared" si="149"/>
        <v>-368941.51353112876</v>
      </c>
      <c r="AF250" s="197">
        <f t="shared" si="149"/>
        <v>-461326.51131486183</v>
      </c>
      <c r="AG250" s="197">
        <f t="shared" si="149"/>
        <v>-351440.23922869115</v>
      </c>
    </row>
    <row r="251" spans="1:33" x14ac:dyDescent="0.3">
      <c r="A251" s="146"/>
      <c r="B251" s="145"/>
      <c r="C251" s="145"/>
      <c r="D251" s="145"/>
      <c r="E251" s="356"/>
      <c r="F251" s="211"/>
      <c r="G251" s="211"/>
      <c r="H251" s="145"/>
      <c r="I251" s="145"/>
      <c r="M251" s="237"/>
      <c r="N251" s="207"/>
      <c r="O251" s="184">
        <f>O94*(O133+O137)</f>
        <v>2425.383589503645</v>
      </c>
      <c r="P251" s="184">
        <f t="shared" ref="P251:R251" si="158">P94*(P133+P137)</f>
        <v>40.124090963408705</v>
      </c>
      <c r="Q251" s="184">
        <f t="shared" si="158"/>
        <v>74.487862623724695</v>
      </c>
      <c r="R251" s="184">
        <f t="shared" si="158"/>
        <v>10.958323783817102</v>
      </c>
      <c r="T251" s="184">
        <f t="shared" si="147"/>
        <v>-19870.767842558853</v>
      </c>
      <c r="U251" s="184">
        <f t="shared" si="147"/>
        <v>-14679.248634849091</v>
      </c>
      <c r="V251" s="184">
        <f t="shared" si="147"/>
        <v>-17862.764145501274</v>
      </c>
      <c r="W251" s="184">
        <f t="shared" si="147"/>
        <v>-13912.028315591182</v>
      </c>
      <c r="Y251" s="184">
        <f t="shared" si="148"/>
        <v>-38236.697183058852</v>
      </c>
      <c r="Z251" s="184">
        <f t="shared" si="148"/>
        <v>-25166.935925349091</v>
      </c>
      <c r="AA251" s="184">
        <f t="shared" si="148"/>
        <v>-31696.363050501273</v>
      </c>
      <c r="AB251" s="184">
        <f t="shared" si="148"/>
        <v>-23571.643070591184</v>
      </c>
      <c r="AC251" s="101"/>
      <c r="AD251" s="184">
        <f t="shared" si="149"/>
        <v>-607505.82799893385</v>
      </c>
      <c r="AE251" s="184">
        <f t="shared" si="149"/>
        <v>-378065.77615372406</v>
      </c>
      <c r="AF251" s="184">
        <f t="shared" si="149"/>
        <v>-476488.27583425131</v>
      </c>
      <c r="AG251" s="184">
        <f t="shared" si="149"/>
        <v>-353728.06259184121</v>
      </c>
    </row>
    <row r="252" spans="1:33" x14ac:dyDescent="0.3">
      <c r="A252" s="145"/>
      <c r="B252" s="145"/>
      <c r="C252" s="145"/>
      <c r="D252" s="145"/>
      <c r="E252" s="356"/>
      <c r="F252" s="211"/>
      <c r="G252" s="211"/>
      <c r="H252" s="145"/>
      <c r="I252" s="145"/>
      <c r="M252" s="222" t="s">
        <v>825</v>
      </c>
      <c r="O252" s="184">
        <f t="shared" ref="O252:R254" si="159">O95*(O134+O138)</f>
        <v>2712.9358686884698</v>
      </c>
      <c r="P252" s="184">
        <f t="shared" si="159"/>
        <v>45.590723757334082</v>
      </c>
      <c r="Q252" s="184">
        <f t="shared" si="159"/>
        <v>80.633391651602395</v>
      </c>
      <c r="R252" s="184">
        <f t="shared" si="159"/>
        <v>11.973656123778001</v>
      </c>
      <c r="T252" s="184">
        <f t="shared" si="147"/>
        <v>-19583.215563374029</v>
      </c>
      <c r="U252" s="184">
        <f t="shared" si="147"/>
        <v>-14673.782002055166</v>
      </c>
      <c r="V252" s="184">
        <f t="shared" si="147"/>
        <v>-17856.618616473399</v>
      </c>
      <c r="W252" s="184">
        <f t="shared" si="147"/>
        <v>-13911.012983251221</v>
      </c>
      <c r="Y252" s="184">
        <f t="shared" si="148"/>
        <v>-37949.144903874025</v>
      </c>
      <c r="Z252" s="184">
        <f t="shared" si="148"/>
        <v>-25161.469292555164</v>
      </c>
      <c r="AA252" s="184">
        <f t="shared" si="148"/>
        <v>-31690.217521473398</v>
      </c>
      <c r="AB252" s="184">
        <f t="shared" si="148"/>
        <v>-23570.627738251223</v>
      </c>
      <c r="AC252" s="101"/>
      <c r="AD252" s="184">
        <f t="shared" si="149"/>
        <v>-607218.27571974893</v>
      </c>
      <c r="AE252" s="184">
        <f t="shared" si="149"/>
        <v>-378060.30952093011</v>
      </c>
      <c r="AF252" s="184">
        <f t="shared" si="149"/>
        <v>-476482.1303052234</v>
      </c>
      <c r="AG252" s="184">
        <f t="shared" si="149"/>
        <v>-353727.04725950124</v>
      </c>
    </row>
    <row r="253" spans="1:33" x14ac:dyDescent="0.3">
      <c r="A253" s="145"/>
      <c r="B253" s="145"/>
      <c r="C253" s="145"/>
      <c r="D253" s="145"/>
      <c r="E253" s="356"/>
      <c r="F253" s="211"/>
      <c r="G253" s="211"/>
      <c r="H253" s="145"/>
      <c r="I253" s="145"/>
      <c r="M253" s="221" t="s">
        <v>900</v>
      </c>
      <c r="O253" s="184">
        <f t="shared" si="159"/>
        <v>2922.402113212856</v>
      </c>
      <c r="P253" s="184">
        <f t="shared" si="159"/>
        <v>49.72358555747816</v>
      </c>
      <c r="Q253" s="184">
        <f t="shared" si="159"/>
        <v>84.895625972196811</v>
      </c>
      <c r="R253" s="184">
        <f t="shared" si="159"/>
        <v>12.703353502818631</v>
      </c>
      <c r="T253" s="184">
        <f t="shared" si="147"/>
        <v>-19373.749318849645</v>
      </c>
      <c r="U253" s="184">
        <f t="shared" si="147"/>
        <v>-14669.649140255022</v>
      </c>
      <c r="V253" s="184">
        <f t="shared" si="147"/>
        <v>-17852.356382152804</v>
      </c>
      <c r="W253" s="184">
        <f t="shared" si="147"/>
        <v>-13910.283285872181</v>
      </c>
      <c r="Y253" s="184">
        <f t="shared" si="148"/>
        <v>-37739.678659349644</v>
      </c>
      <c r="Z253" s="184">
        <f t="shared" si="148"/>
        <v>-25157.336430755018</v>
      </c>
      <c r="AA253" s="184">
        <f t="shared" si="148"/>
        <v>-31685.955287152803</v>
      </c>
      <c r="AB253" s="184">
        <f t="shared" si="148"/>
        <v>-23569.89804087218</v>
      </c>
      <c r="AC253" s="101"/>
      <c r="AD253" s="184">
        <f t="shared" si="149"/>
        <v>-607008.80947522458</v>
      </c>
      <c r="AE253" s="184">
        <f t="shared" si="149"/>
        <v>-378056.17665912997</v>
      </c>
      <c r="AF253" s="184">
        <f t="shared" si="149"/>
        <v>-476477.86807090283</v>
      </c>
      <c r="AG253" s="184">
        <f t="shared" si="149"/>
        <v>-353726.31756212219</v>
      </c>
    </row>
    <row r="254" spans="1:33" x14ac:dyDescent="0.3">
      <c r="A254" s="145"/>
      <c r="B254" s="145"/>
      <c r="C254" s="145"/>
      <c r="D254" s="145"/>
      <c r="E254" s="356"/>
      <c r="F254" s="211"/>
      <c r="G254" s="211"/>
      <c r="H254" s="145"/>
      <c r="I254" s="145"/>
      <c r="M254" s="8"/>
      <c r="N254" s="8"/>
      <c r="O254" s="184">
        <f t="shared" si="159"/>
        <v>3056.4692908961438</v>
      </c>
      <c r="P254" s="184">
        <f t="shared" si="159"/>
        <v>52.568183825384459</v>
      </c>
      <c r="Q254" s="184">
        <f t="shared" si="159"/>
        <v>87.397241197016342</v>
      </c>
      <c r="R254" s="184">
        <f t="shared" si="159"/>
        <v>13.186128223330128</v>
      </c>
      <c r="T254" s="197">
        <f t="shared" si="147"/>
        <v>-19239.682141166355</v>
      </c>
      <c r="U254" s="197">
        <f t="shared" si="147"/>
        <v>-14666.804541987116</v>
      </c>
      <c r="V254" s="197">
        <f t="shared" si="147"/>
        <v>-17849.854766927983</v>
      </c>
      <c r="W254" s="197">
        <f t="shared" si="147"/>
        <v>-13909.80051115167</v>
      </c>
      <c r="Y254" s="184">
        <f t="shared" si="148"/>
        <v>-37605.611481666354</v>
      </c>
      <c r="Z254" s="184">
        <f t="shared" si="148"/>
        <v>-25154.491832487114</v>
      </c>
      <c r="AA254" s="184">
        <f t="shared" si="148"/>
        <v>-31683.453671927982</v>
      </c>
      <c r="AB254" s="184">
        <f t="shared" si="148"/>
        <v>-23569.415266151671</v>
      </c>
      <c r="AC254" s="101"/>
      <c r="AD254" s="184">
        <f t="shared" si="149"/>
        <v>-606874.74229754135</v>
      </c>
      <c r="AE254" s="184">
        <f t="shared" si="149"/>
        <v>-378053.33206086204</v>
      </c>
      <c r="AF254" s="184">
        <f t="shared" si="149"/>
        <v>-476475.36645567801</v>
      </c>
      <c r="AG254" s="184">
        <f t="shared" si="149"/>
        <v>-353725.83478740172</v>
      </c>
    </row>
    <row r="255" spans="1:33" x14ac:dyDescent="0.3">
      <c r="A255" s="145"/>
      <c r="B255" s="145"/>
      <c r="C255" s="145"/>
      <c r="D255" s="145"/>
      <c r="E255" s="145"/>
      <c r="F255" s="211"/>
      <c r="G255" s="211"/>
      <c r="H255" s="145"/>
      <c r="I255" s="145"/>
      <c r="O255" s="101"/>
    </row>
    <row r="256" spans="1:33" x14ac:dyDescent="0.3">
      <c r="A256" s="146"/>
      <c r="B256" s="145"/>
      <c r="C256" s="145"/>
      <c r="D256" s="145"/>
      <c r="E256" s="356"/>
      <c r="F256" s="211"/>
      <c r="G256" s="211"/>
      <c r="H256" s="145"/>
      <c r="I256" s="145"/>
    </row>
    <row r="257" spans="1:9" x14ac:dyDescent="0.3">
      <c r="A257" s="145"/>
      <c r="B257" s="145"/>
      <c r="C257" s="145"/>
      <c r="D257" s="145"/>
      <c r="E257" s="356"/>
      <c r="F257" s="211"/>
      <c r="G257" s="211"/>
      <c r="H257" s="145"/>
      <c r="I257" s="145"/>
    </row>
    <row r="258" spans="1:9" x14ac:dyDescent="0.3">
      <c r="A258" s="145"/>
      <c r="B258" s="145"/>
      <c r="C258" s="145"/>
      <c r="D258" s="145"/>
      <c r="E258" s="356"/>
      <c r="F258" s="211"/>
      <c r="G258" s="211"/>
      <c r="H258" s="145"/>
      <c r="I258" s="145"/>
    </row>
    <row r="259" spans="1:9" x14ac:dyDescent="0.3">
      <c r="A259" s="145"/>
      <c r="B259" s="145"/>
      <c r="C259" s="145"/>
      <c r="D259" s="145"/>
      <c r="E259" s="356"/>
      <c r="F259" s="211"/>
      <c r="G259" s="211"/>
      <c r="H259" s="145"/>
      <c r="I259" s="145"/>
    </row>
    <row r="260" spans="1:9" x14ac:dyDescent="0.3">
      <c r="A260" s="145"/>
      <c r="B260" s="145"/>
      <c r="C260" s="145"/>
      <c r="D260" s="145"/>
      <c r="E260" s="145"/>
      <c r="F260" s="211"/>
      <c r="G260" s="211"/>
      <c r="H260" s="145"/>
      <c r="I260" s="145"/>
    </row>
    <row r="261" spans="1:9" x14ac:dyDescent="0.3">
      <c r="A261" s="146"/>
      <c r="B261" s="145"/>
      <c r="C261" s="145"/>
      <c r="D261" s="145"/>
      <c r="E261" s="356"/>
      <c r="F261" s="211"/>
      <c r="G261" s="211"/>
      <c r="H261" s="145"/>
      <c r="I261" s="145"/>
    </row>
    <row r="262" spans="1:9" x14ac:dyDescent="0.3">
      <c r="A262" s="145"/>
      <c r="B262" s="145"/>
      <c r="C262" s="145"/>
      <c r="D262" s="145"/>
      <c r="E262" s="356"/>
      <c r="F262" s="211"/>
      <c r="G262" s="211"/>
      <c r="H262" s="145"/>
      <c r="I262" s="145"/>
    </row>
    <row r="263" spans="1:9" x14ac:dyDescent="0.3">
      <c r="A263" s="145"/>
      <c r="B263" s="145"/>
      <c r="C263" s="145"/>
      <c r="D263" s="145"/>
      <c r="E263" s="356"/>
      <c r="F263" s="211"/>
      <c r="G263" s="211"/>
      <c r="H263" s="145"/>
      <c r="I263" s="145"/>
    </row>
    <row r="264" spans="1:9" x14ac:dyDescent="0.3">
      <c r="A264" s="145"/>
      <c r="B264" s="145"/>
      <c r="C264" s="145"/>
      <c r="D264" s="145"/>
      <c r="E264" s="356"/>
      <c r="F264" s="211"/>
      <c r="G264" s="211"/>
      <c r="H264" s="145"/>
      <c r="I264" s="145"/>
    </row>
    <row r="265" spans="1:9" x14ac:dyDescent="0.3">
      <c r="A265" s="145"/>
      <c r="B265" s="145"/>
      <c r="C265" s="145"/>
      <c r="D265" s="145"/>
      <c r="E265" s="145"/>
      <c r="F265" s="145"/>
      <c r="G265" s="145"/>
      <c r="H265" s="145"/>
      <c r="I265" s="145"/>
    </row>
    <row r="266" spans="1:9" x14ac:dyDescent="0.3">
      <c r="A266" s="145"/>
      <c r="B266" s="145"/>
      <c r="C266" s="145"/>
      <c r="D266" s="145"/>
      <c r="E266" s="145"/>
      <c r="F266" s="145"/>
      <c r="G266" s="145"/>
      <c r="H266" s="145"/>
      <c r="I266" s="145"/>
    </row>
    <row r="267" spans="1:9" x14ac:dyDescent="0.3">
      <c r="A267" s="145"/>
      <c r="B267" s="145"/>
      <c r="C267" s="145"/>
      <c r="D267" s="145"/>
      <c r="E267" s="145"/>
      <c r="F267" s="145"/>
      <c r="G267" s="145"/>
      <c r="H267" s="145"/>
      <c r="I267" s="145"/>
    </row>
    <row r="268" spans="1:9" s="222" customFormat="1" x14ac:dyDescent="0.3">
      <c r="A268" s="79"/>
      <c r="B268" s="79"/>
      <c r="C268" s="79"/>
      <c r="D268" s="79"/>
      <c r="E268" s="181"/>
      <c r="F268" s="181"/>
      <c r="G268" s="181"/>
      <c r="H268" s="181"/>
      <c r="I268" s="181"/>
    </row>
    <row r="269" spans="1:9" x14ac:dyDescent="0.3">
      <c r="A269" s="146"/>
      <c r="B269" s="145"/>
      <c r="C269" s="145"/>
      <c r="D269" s="145"/>
      <c r="E269" s="356"/>
      <c r="F269" s="357"/>
      <c r="G269" s="358"/>
      <c r="H269" s="358"/>
      <c r="I269" s="359"/>
    </row>
    <row r="270" spans="1:9" x14ac:dyDescent="0.3">
      <c r="A270" s="145"/>
      <c r="B270" s="145"/>
      <c r="C270" s="145"/>
      <c r="D270" s="145"/>
      <c r="E270" s="356"/>
      <c r="F270" s="357"/>
      <c r="G270" s="358"/>
      <c r="H270" s="358"/>
      <c r="I270" s="359"/>
    </row>
    <row r="271" spans="1:9" x14ac:dyDescent="0.3">
      <c r="A271" s="145"/>
      <c r="B271" s="145"/>
      <c r="C271" s="145"/>
      <c r="D271" s="145"/>
      <c r="E271" s="356"/>
      <c r="F271" s="357"/>
      <c r="G271" s="358"/>
      <c r="H271" s="358"/>
      <c r="I271" s="359"/>
    </row>
    <row r="272" spans="1:9" x14ac:dyDescent="0.3">
      <c r="A272" s="145"/>
      <c r="B272" s="145"/>
      <c r="C272" s="145"/>
      <c r="D272" s="145"/>
      <c r="E272" s="356"/>
      <c r="F272" s="357"/>
      <c r="G272" s="358"/>
      <c r="H272" s="358"/>
      <c r="I272" s="359"/>
    </row>
    <row r="273" spans="1:9" x14ac:dyDescent="0.3">
      <c r="A273" s="145"/>
      <c r="B273" s="145"/>
      <c r="C273" s="145"/>
      <c r="D273" s="145"/>
      <c r="E273" s="145"/>
      <c r="F273" s="360"/>
      <c r="G273" s="145"/>
      <c r="H273" s="145"/>
      <c r="I273" s="145"/>
    </row>
    <row r="274" spans="1:9" x14ac:dyDescent="0.3">
      <c r="A274" s="146"/>
      <c r="B274" s="145"/>
      <c r="C274" s="145"/>
      <c r="D274" s="145"/>
      <c r="E274" s="356"/>
      <c r="F274" s="357"/>
      <c r="G274" s="358"/>
      <c r="H274" s="358"/>
      <c r="I274" s="359"/>
    </row>
    <row r="275" spans="1:9" x14ac:dyDescent="0.3">
      <c r="A275" s="145"/>
      <c r="B275" s="145"/>
      <c r="C275" s="145"/>
      <c r="D275" s="145"/>
      <c r="E275" s="356"/>
      <c r="F275" s="357"/>
      <c r="G275" s="358"/>
      <c r="H275" s="358"/>
      <c r="I275" s="359"/>
    </row>
    <row r="276" spans="1:9" x14ac:dyDescent="0.3">
      <c r="A276" s="145"/>
      <c r="B276" s="145"/>
      <c r="C276" s="145"/>
      <c r="D276" s="145"/>
      <c r="E276" s="356"/>
      <c r="F276" s="357"/>
      <c r="G276" s="358"/>
      <c r="H276" s="358"/>
      <c r="I276" s="359"/>
    </row>
    <row r="277" spans="1:9" x14ac:dyDescent="0.3">
      <c r="A277" s="145"/>
      <c r="B277" s="145"/>
      <c r="C277" s="145"/>
      <c r="D277" s="145"/>
      <c r="E277" s="356"/>
      <c r="F277" s="357"/>
      <c r="G277" s="358"/>
      <c r="H277" s="358"/>
      <c r="I277" s="359"/>
    </row>
    <row r="278" spans="1:9" x14ac:dyDescent="0.3">
      <c r="A278" s="145"/>
      <c r="B278" s="145"/>
      <c r="C278" s="145"/>
      <c r="D278" s="145"/>
      <c r="E278" s="145"/>
      <c r="F278" s="360"/>
      <c r="G278" s="145"/>
      <c r="H278" s="145"/>
      <c r="I278" s="145"/>
    </row>
    <row r="279" spans="1:9" x14ac:dyDescent="0.3">
      <c r="A279" s="146"/>
      <c r="B279" s="145"/>
      <c r="C279" s="145"/>
      <c r="D279" s="145"/>
      <c r="E279" s="356"/>
      <c r="F279" s="357"/>
      <c r="G279" s="358"/>
      <c r="H279" s="358"/>
      <c r="I279" s="359"/>
    </row>
    <row r="280" spans="1:9" x14ac:dyDescent="0.3">
      <c r="A280" s="145"/>
      <c r="B280" s="145"/>
      <c r="C280" s="145"/>
      <c r="D280" s="145"/>
      <c r="E280" s="356"/>
      <c r="F280" s="357"/>
      <c r="G280" s="358"/>
      <c r="H280" s="358"/>
      <c r="I280" s="359"/>
    </row>
    <row r="281" spans="1:9" x14ac:dyDescent="0.3">
      <c r="A281" s="145"/>
      <c r="B281" s="145"/>
      <c r="C281" s="145"/>
      <c r="D281" s="145"/>
      <c r="E281" s="356"/>
      <c r="F281" s="357"/>
      <c r="G281" s="358"/>
      <c r="H281" s="358"/>
      <c r="I281" s="359"/>
    </row>
    <row r="282" spans="1:9" x14ac:dyDescent="0.3">
      <c r="A282" s="145"/>
      <c r="B282" s="145"/>
      <c r="C282" s="145"/>
      <c r="D282" s="145"/>
      <c r="E282" s="356"/>
      <c r="F282" s="357"/>
      <c r="G282" s="358"/>
      <c r="H282" s="358"/>
      <c r="I282" s="359"/>
    </row>
    <row r="283" spans="1:9" x14ac:dyDescent="0.3">
      <c r="A283" s="145"/>
      <c r="B283" s="145"/>
      <c r="C283" s="145"/>
      <c r="D283" s="145"/>
      <c r="E283" s="145"/>
      <c r="F283" s="145"/>
      <c r="G283" s="145"/>
      <c r="H283" s="145"/>
      <c r="I283" s="145"/>
    </row>
    <row r="284" spans="1:9" x14ac:dyDescent="0.3">
      <c r="A284" s="145"/>
      <c r="B284" s="145"/>
      <c r="C284" s="145"/>
      <c r="D284" s="145"/>
      <c r="E284" s="145"/>
      <c r="F284" s="145"/>
      <c r="G284" s="145"/>
      <c r="H284" s="145"/>
      <c r="I284" s="145"/>
    </row>
    <row r="285" spans="1:9" x14ac:dyDescent="0.3">
      <c r="A285" s="145"/>
      <c r="B285" s="145"/>
      <c r="C285" s="145"/>
      <c r="D285" s="145"/>
      <c r="E285" s="145"/>
      <c r="F285" s="145"/>
      <c r="G285" s="145"/>
      <c r="H285" s="145"/>
      <c r="I285" s="145"/>
    </row>
    <row r="286" spans="1:9" x14ac:dyDescent="0.3">
      <c r="A286" s="79"/>
      <c r="B286" s="79"/>
      <c r="C286" s="79"/>
      <c r="D286" s="79"/>
      <c r="E286" s="181"/>
      <c r="F286" s="181"/>
      <c r="G286" s="181"/>
      <c r="H286" s="181"/>
      <c r="I286" s="181"/>
    </row>
    <row r="287" spans="1:9" x14ac:dyDescent="0.3">
      <c r="A287" s="146"/>
      <c r="B287" s="145"/>
      <c r="C287" s="145"/>
      <c r="D287" s="145"/>
      <c r="E287" s="356"/>
      <c r="F287" s="357"/>
      <c r="G287" s="358"/>
      <c r="H287" s="358"/>
      <c r="I287" s="359"/>
    </row>
    <row r="288" spans="1:9" x14ac:dyDescent="0.3">
      <c r="A288" s="145"/>
      <c r="B288" s="145"/>
      <c r="C288" s="145"/>
      <c r="D288" s="145"/>
      <c r="E288" s="356"/>
      <c r="F288" s="357"/>
      <c r="G288" s="358"/>
      <c r="H288" s="358"/>
      <c r="I288" s="359"/>
    </row>
    <row r="289" spans="1:9" x14ac:dyDescent="0.3">
      <c r="A289" s="145"/>
      <c r="B289" s="145"/>
      <c r="C289" s="145"/>
      <c r="D289" s="145"/>
      <c r="E289" s="356"/>
      <c r="F289" s="357"/>
      <c r="G289" s="358"/>
      <c r="H289" s="358"/>
      <c r="I289" s="359"/>
    </row>
    <row r="290" spans="1:9" x14ac:dyDescent="0.3">
      <c r="A290" s="145"/>
      <c r="B290" s="145"/>
      <c r="C290" s="145"/>
      <c r="D290" s="145"/>
      <c r="E290" s="356"/>
      <c r="F290" s="357"/>
      <c r="G290" s="358"/>
      <c r="H290" s="358"/>
      <c r="I290" s="359"/>
    </row>
    <row r="291" spans="1:9" x14ac:dyDescent="0.3">
      <c r="A291" s="145"/>
      <c r="B291" s="145"/>
      <c r="C291" s="145"/>
      <c r="D291" s="145"/>
      <c r="E291" s="145"/>
      <c r="F291" s="360"/>
      <c r="G291" s="145"/>
      <c r="H291" s="145"/>
      <c r="I291" s="145"/>
    </row>
    <row r="292" spans="1:9" x14ac:dyDescent="0.3">
      <c r="A292" s="146"/>
      <c r="B292" s="145"/>
      <c r="C292" s="145"/>
      <c r="D292" s="145"/>
      <c r="E292" s="356"/>
      <c r="F292" s="357"/>
      <c r="G292" s="358"/>
      <c r="H292" s="358"/>
      <c r="I292" s="359"/>
    </row>
    <row r="293" spans="1:9" x14ac:dyDescent="0.3">
      <c r="A293" s="145"/>
      <c r="B293" s="145"/>
      <c r="C293" s="145"/>
      <c r="D293" s="145"/>
      <c r="E293" s="356"/>
      <c r="F293" s="357"/>
      <c r="G293" s="358"/>
      <c r="H293" s="358"/>
      <c r="I293" s="359"/>
    </row>
    <row r="294" spans="1:9" x14ac:dyDescent="0.3">
      <c r="A294" s="145"/>
      <c r="B294" s="145"/>
      <c r="C294" s="145"/>
      <c r="D294" s="145"/>
      <c r="E294" s="356"/>
      <c r="F294" s="357"/>
      <c r="G294" s="358"/>
      <c r="H294" s="358"/>
      <c r="I294" s="359"/>
    </row>
    <row r="295" spans="1:9" x14ac:dyDescent="0.3">
      <c r="A295" s="145"/>
      <c r="B295" s="145"/>
      <c r="C295" s="145"/>
      <c r="D295" s="145"/>
      <c r="E295" s="356"/>
      <c r="F295" s="357"/>
      <c r="G295" s="358"/>
      <c r="H295" s="358"/>
      <c r="I295" s="359"/>
    </row>
    <row r="296" spans="1:9" x14ac:dyDescent="0.3">
      <c r="A296" s="145"/>
      <c r="B296" s="145"/>
      <c r="C296" s="145"/>
      <c r="D296" s="145"/>
      <c r="E296" s="145"/>
      <c r="F296" s="360"/>
      <c r="G296" s="145"/>
      <c r="H296" s="145"/>
      <c r="I296" s="145"/>
    </row>
    <row r="297" spans="1:9" x14ac:dyDescent="0.3">
      <c r="A297" s="146"/>
      <c r="B297" s="145"/>
      <c r="C297" s="145"/>
      <c r="D297" s="145"/>
      <c r="E297" s="356"/>
      <c r="F297" s="357"/>
      <c r="G297" s="358"/>
      <c r="H297" s="358"/>
      <c r="I297" s="359"/>
    </row>
    <row r="298" spans="1:9" x14ac:dyDescent="0.3">
      <c r="A298" s="145"/>
      <c r="B298" s="145"/>
      <c r="C298" s="145"/>
      <c r="D298" s="145"/>
      <c r="E298" s="356"/>
      <c r="F298" s="357"/>
      <c r="G298" s="358"/>
      <c r="H298" s="358"/>
      <c r="I298" s="359"/>
    </row>
    <row r="299" spans="1:9" x14ac:dyDescent="0.3">
      <c r="A299" s="145"/>
      <c r="B299" s="145"/>
      <c r="C299" s="145"/>
      <c r="D299" s="145"/>
      <c r="E299" s="356"/>
      <c r="F299" s="357"/>
      <c r="G299" s="358"/>
      <c r="H299" s="358"/>
      <c r="I299" s="359"/>
    </row>
    <row r="300" spans="1:9" x14ac:dyDescent="0.3">
      <c r="A300" s="145"/>
      <c r="B300" s="145"/>
      <c r="C300" s="145"/>
      <c r="D300" s="145"/>
      <c r="E300" s="356"/>
      <c r="F300" s="357"/>
      <c r="G300" s="358"/>
      <c r="H300" s="358"/>
      <c r="I300" s="359"/>
    </row>
  </sheetData>
  <mergeCells count="3">
    <mergeCell ref="E71:H71"/>
    <mergeCell ref="O72:R72"/>
    <mergeCell ref="O106:R106"/>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739AE-30D0-48C9-88A3-1E1024081F3E}">
  <dimension ref="A1:BB178"/>
  <sheetViews>
    <sheetView topLeftCell="H1" workbookViewId="0">
      <selection activeCell="O7" sqref="O7:R7"/>
    </sheetView>
  </sheetViews>
  <sheetFormatPr defaultRowHeight="14.4" x14ac:dyDescent="0.3"/>
  <cols>
    <col min="1" max="1" width="46.33203125" style="221" customWidth="1"/>
    <col min="2" max="2" width="4" style="221" customWidth="1"/>
    <col min="3" max="3" width="25.109375" style="221" customWidth="1"/>
    <col min="4" max="4" width="30.33203125" style="221" customWidth="1"/>
    <col min="5" max="5" width="28.21875" style="221" customWidth="1"/>
    <col min="6" max="6" width="29" style="221" customWidth="1"/>
    <col min="7" max="7" width="17.109375" style="221" customWidth="1"/>
    <col min="8" max="8" width="2.33203125" style="221" customWidth="1"/>
    <col min="9" max="13" width="21.109375" style="221" customWidth="1"/>
    <col min="14" max="14" width="43.6640625" style="221" customWidth="1"/>
    <col min="15" max="18" width="23.88671875" style="221" customWidth="1"/>
    <col min="19" max="16384" width="8.88671875" style="221"/>
  </cols>
  <sheetData>
    <row r="1" spans="1:18" x14ac:dyDescent="0.3">
      <c r="A1" s="86" t="s">
        <v>950</v>
      </c>
      <c r="D1" s="221" t="s">
        <v>870</v>
      </c>
    </row>
    <row r="2" spans="1:18" x14ac:dyDescent="0.3">
      <c r="D2" s="221">
        <v>1368480.96</v>
      </c>
      <c r="E2" s="221">
        <v>1368480.96</v>
      </c>
      <c r="F2" s="221">
        <v>1368480.96</v>
      </c>
      <c r="G2" s="221">
        <v>1368480.96</v>
      </c>
    </row>
    <row r="3" spans="1:18" x14ac:dyDescent="0.3">
      <c r="A3" s="86" t="s">
        <v>741</v>
      </c>
      <c r="D3" s="221" t="s">
        <v>871</v>
      </c>
    </row>
    <row r="4" spans="1:18" x14ac:dyDescent="0.3">
      <c r="A4" s="86" t="s">
        <v>737</v>
      </c>
      <c r="D4" s="221">
        <v>27878400</v>
      </c>
      <c r="E4" s="221">
        <v>27878400</v>
      </c>
      <c r="F4" s="221">
        <v>27878400</v>
      </c>
      <c r="G4" s="221">
        <v>27878400</v>
      </c>
    </row>
    <row r="5" spans="1:18" x14ac:dyDescent="0.3">
      <c r="C5" s="221" t="s">
        <v>868</v>
      </c>
      <c r="D5" s="221">
        <v>4.9087499999999999E-2</v>
      </c>
      <c r="E5" s="221">
        <v>4.9087499999999999E-2</v>
      </c>
      <c r="F5" s="221">
        <v>4.9087499999999999E-2</v>
      </c>
      <c r="G5" s="221">
        <v>4.9087499999999999E-2</v>
      </c>
      <c r="O5" s="254" t="s">
        <v>779</v>
      </c>
      <c r="P5" s="254"/>
      <c r="Q5" s="254"/>
      <c r="R5" s="254"/>
    </row>
    <row r="6" spans="1:18" x14ac:dyDescent="0.3">
      <c r="C6" s="221" t="s">
        <v>869</v>
      </c>
      <c r="D6" s="221">
        <v>4.9087499999999999E-2</v>
      </c>
      <c r="E6" s="221">
        <v>4.8596624999999998</v>
      </c>
      <c r="F6" s="221">
        <v>4.8596624999999998</v>
      </c>
      <c r="G6" s="221">
        <v>4.9087499999999999E-2</v>
      </c>
      <c r="O6" s="220"/>
      <c r="P6" s="220"/>
      <c r="Q6" s="220"/>
      <c r="R6" s="220"/>
    </row>
    <row r="7" spans="1:18" s="222" customFormat="1" ht="115.2" x14ac:dyDescent="0.3">
      <c r="D7" s="107" t="s">
        <v>1078</v>
      </c>
      <c r="E7" s="107" t="s">
        <v>1079</v>
      </c>
      <c r="F7" s="107" t="s">
        <v>1080</v>
      </c>
      <c r="G7" s="107" t="s">
        <v>1081</v>
      </c>
      <c r="H7" s="253"/>
      <c r="I7" s="176" t="s">
        <v>1074</v>
      </c>
      <c r="J7" s="176" t="s">
        <v>1075</v>
      </c>
      <c r="K7" s="176" t="s">
        <v>1076</v>
      </c>
      <c r="L7" s="176" t="s">
        <v>1077</v>
      </c>
      <c r="M7" s="365"/>
      <c r="N7" s="253"/>
      <c r="O7" s="107" t="s">
        <v>1078</v>
      </c>
      <c r="P7" s="107" t="s">
        <v>1079</v>
      </c>
      <c r="Q7" s="107" t="s">
        <v>1080</v>
      </c>
      <c r="R7" s="107" t="s">
        <v>1081</v>
      </c>
    </row>
    <row r="8" spans="1:18" x14ac:dyDescent="0.3">
      <c r="A8" s="221" t="s">
        <v>743</v>
      </c>
      <c r="D8" s="221">
        <v>100</v>
      </c>
      <c r="E8" s="221">
        <v>100</v>
      </c>
      <c r="F8" s="221">
        <v>100</v>
      </c>
      <c r="G8" s="221">
        <v>100</v>
      </c>
      <c r="I8" s="2">
        <f>D8</f>
        <v>100</v>
      </c>
      <c r="J8" s="2">
        <f t="shared" ref="J8:L12" si="0">E8</f>
        <v>100</v>
      </c>
      <c r="K8" s="2">
        <f t="shared" si="0"/>
        <v>100</v>
      </c>
      <c r="L8" s="2">
        <f t="shared" si="0"/>
        <v>100</v>
      </c>
      <c r="M8" s="2"/>
      <c r="N8" s="2"/>
      <c r="O8" s="221">
        <v>100</v>
      </c>
      <c r="P8" s="221">
        <v>100</v>
      </c>
      <c r="Q8" s="221">
        <v>100</v>
      </c>
      <c r="R8" s="221">
        <v>100</v>
      </c>
    </row>
    <row r="9" spans="1:18" x14ac:dyDescent="0.3">
      <c r="A9" s="221" t="s">
        <v>745</v>
      </c>
      <c r="D9" s="221" t="s">
        <v>883</v>
      </c>
      <c r="E9" s="221" t="s">
        <v>883</v>
      </c>
      <c r="F9" s="221" t="s">
        <v>883</v>
      </c>
      <c r="G9" s="221" t="s">
        <v>883</v>
      </c>
      <c r="I9" s="2" t="str">
        <f t="shared" ref="I9:I12" si="1">D9</f>
        <v>92-115' (api 581) or 225-450' CFER</v>
      </c>
      <c r="J9" s="2" t="str">
        <f t="shared" si="0"/>
        <v>92-115' (api 581) or 225-450' CFER</v>
      </c>
      <c r="K9" s="2" t="str">
        <f t="shared" si="0"/>
        <v>92-115' (api 581) or 225-450' CFER</v>
      </c>
      <c r="L9" s="2" t="str">
        <f t="shared" si="0"/>
        <v>92-115' (api 581) or 225-450' CFER</v>
      </c>
      <c r="M9" s="2"/>
      <c r="N9" s="2"/>
      <c r="O9" s="221" t="s">
        <v>883</v>
      </c>
      <c r="P9" s="221" t="s">
        <v>883</v>
      </c>
      <c r="Q9" s="221" t="s">
        <v>883</v>
      </c>
      <c r="R9" s="221" t="s">
        <v>883</v>
      </c>
    </row>
    <row r="10" spans="1:18" x14ac:dyDescent="0.3">
      <c r="A10" s="221" t="s">
        <v>756</v>
      </c>
      <c r="D10" s="221" t="s">
        <v>885</v>
      </c>
      <c r="E10" s="221" t="s">
        <v>885</v>
      </c>
      <c r="F10" s="221" t="s">
        <v>885</v>
      </c>
      <c r="G10" s="221" t="s">
        <v>885</v>
      </c>
      <c r="I10" s="2" t="str">
        <f t="shared" si="1"/>
        <v>2.5 (2.5*115 = 288); 2.5*225=563</v>
      </c>
      <c r="J10" s="2" t="str">
        <f t="shared" si="0"/>
        <v>2.5 (2.5*115 = 288); 2.5*225=563</v>
      </c>
      <c r="K10" s="2" t="str">
        <f t="shared" si="0"/>
        <v>2.5 (2.5*115 = 288); 2.5*225=563</v>
      </c>
      <c r="L10" s="2" t="str">
        <f t="shared" si="0"/>
        <v>2.5 (2.5*115 = 288); 2.5*225=563</v>
      </c>
      <c r="M10" s="2"/>
      <c r="O10" s="221" t="s">
        <v>885</v>
      </c>
      <c r="P10" s="221" t="s">
        <v>885</v>
      </c>
      <c r="Q10" s="221" t="s">
        <v>885</v>
      </c>
      <c r="R10" s="221" t="s">
        <v>885</v>
      </c>
    </row>
    <row r="11" spans="1:18" x14ac:dyDescent="0.3">
      <c r="A11" s="221" t="s">
        <v>755</v>
      </c>
      <c r="D11" s="221">
        <v>660</v>
      </c>
      <c r="E11" s="221">
        <v>660</v>
      </c>
      <c r="F11" s="221">
        <v>660</v>
      </c>
      <c r="G11" s="221">
        <v>660</v>
      </c>
      <c r="I11" s="221">
        <f t="shared" si="1"/>
        <v>660</v>
      </c>
      <c r="J11" s="221">
        <f t="shared" si="0"/>
        <v>660</v>
      </c>
      <c r="K11" s="221">
        <f t="shared" si="0"/>
        <v>660</v>
      </c>
      <c r="L11" s="221">
        <f t="shared" si="0"/>
        <v>660</v>
      </c>
      <c r="O11" s="221">
        <v>660</v>
      </c>
      <c r="P11" s="221">
        <v>660</v>
      </c>
      <c r="Q11" s="221">
        <v>660</v>
      </c>
      <c r="R11" s="221">
        <v>660</v>
      </c>
    </row>
    <row r="12" spans="1:18" x14ac:dyDescent="0.3">
      <c r="A12" s="221" t="s">
        <v>760</v>
      </c>
      <c r="D12" s="221">
        <v>99</v>
      </c>
      <c r="E12" s="221">
        <v>1</v>
      </c>
      <c r="F12" s="221">
        <v>99</v>
      </c>
      <c r="G12" s="221">
        <v>1</v>
      </c>
      <c r="I12" s="221">
        <f t="shared" si="1"/>
        <v>99</v>
      </c>
      <c r="J12" s="221">
        <f t="shared" si="0"/>
        <v>1</v>
      </c>
      <c r="K12" s="221">
        <f t="shared" si="0"/>
        <v>99</v>
      </c>
      <c r="L12" s="221">
        <f t="shared" si="0"/>
        <v>1</v>
      </c>
      <c r="O12" s="221">
        <v>99</v>
      </c>
      <c r="P12" s="221">
        <v>1</v>
      </c>
      <c r="Q12" s="221">
        <v>99</v>
      </c>
      <c r="R12" s="221">
        <v>1</v>
      </c>
    </row>
    <row r="13" spans="1:18" x14ac:dyDescent="0.3">
      <c r="A13" s="221" t="s">
        <v>761</v>
      </c>
      <c r="D13" s="221">
        <v>5</v>
      </c>
      <c r="E13" s="221">
        <v>2E-3</v>
      </c>
      <c r="F13" s="221">
        <v>5</v>
      </c>
      <c r="G13" s="221">
        <v>2E-3</v>
      </c>
      <c r="I13" s="221">
        <f>5+D13</f>
        <v>10</v>
      </c>
      <c r="J13" s="221">
        <f t="shared" ref="J13:L13" si="2">5+E13</f>
        <v>5.0019999999999998</v>
      </c>
      <c r="K13" s="221">
        <f t="shared" si="2"/>
        <v>10</v>
      </c>
      <c r="L13" s="221">
        <f t="shared" si="2"/>
        <v>5.0019999999999998</v>
      </c>
      <c r="N13" s="221" t="s">
        <v>778</v>
      </c>
      <c r="O13" s="221">
        <v>5</v>
      </c>
      <c r="P13" s="221">
        <v>2E-3</v>
      </c>
      <c r="Q13" s="221">
        <v>5</v>
      </c>
      <c r="R13" s="221">
        <v>2E-3</v>
      </c>
    </row>
    <row r="14" spans="1:18" x14ac:dyDescent="0.3">
      <c r="A14" s="206"/>
      <c r="B14" s="204"/>
      <c r="C14" s="204" t="s">
        <v>763</v>
      </c>
      <c r="D14" s="183">
        <v>32325000.000000004</v>
      </c>
      <c r="E14" s="183">
        <v>12930</v>
      </c>
      <c r="F14" s="183">
        <v>32325000.000000004</v>
      </c>
      <c r="G14" s="183">
        <v>12930</v>
      </c>
      <c r="H14" s="101"/>
      <c r="I14" s="101">
        <f t="shared" ref="I14:L14" si="3">6.465*I13*1000000</f>
        <v>64650000.000000007</v>
      </c>
      <c r="J14" s="101">
        <f t="shared" si="3"/>
        <v>32337930</v>
      </c>
      <c r="K14" s="101">
        <f t="shared" si="3"/>
        <v>64650000.000000007</v>
      </c>
      <c r="L14" s="101">
        <f t="shared" si="3"/>
        <v>32337930</v>
      </c>
      <c r="M14" s="101"/>
      <c r="O14" s="101">
        <v>32325000.000000004</v>
      </c>
      <c r="P14" s="101">
        <v>12930</v>
      </c>
      <c r="Q14" s="101">
        <v>32325000.000000004</v>
      </c>
      <c r="R14" s="101">
        <v>12930</v>
      </c>
    </row>
    <row r="15" spans="1:18" x14ac:dyDescent="0.3">
      <c r="O15" s="172" t="s">
        <v>780</v>
      </c>
      <c r="P15" s="173"/>
      <c r="Q15" s="173"/>
      <c r="R15" s="173"/>
    </row>
    <row r="16" spans="1:18" x14ac:dyDescent="0.3">
      <c r="A16" s="221" t="s">
        <v>744</v>
      </c>
      <c r="D16" s="221" t="s">
        <v>884</v>
      </c>
      <c r="E16" s="221" t="s">
        <v>884</v>
      </c>
      <c r="F16" s="221" t="s">
        <v>884</v>
      </c>
      <c r="G16" s="221" t="s">
        <v>884</v>
      </c>
      <c r="I16" s="2" t="s">
        <v>810</v>
      </c>
      <c r="J16" s="2" t="s">
        <v>809</v>
      </c>
      <c r="K16" s="2" t="s">
        <v>809</v>
      </c>
      <c r="L16" s="2" t="s">
        <v>809</v>
      </c>
      <c r="M16" s="2"/>
      <c r="O16" s="221" t="s">
        <v>884</v>
      </c>
      <c r="P16" s="221" t="s">
        <v>884</v>
      </c>
      <c r="Q16" s="221" t="s">
        <v>884</v>
      </c>
      <c r="R16" s="221" t="s">
        <v>884</v>
      </c>
    </row>
    <row r="17" spans="1:18" x14ac:dyDescent="0.3">
      <c r="A17" s="221" t="s">
        <v>82</v>
      </c>
      <c r="D17" s="221">
        <v>5</v>
      </c>
      <c r="E17" s="221">
        <v>5</v>
      </c>
      <c r="F17" s="221">
        <v>5</v>
      </c>
      <c r="G17" s="221">
        <v>5</v>
      </c>
      <c r="I17" s="2" t="s">
        <v>809</v>
      </c>
      <c r="J17" s="2" t="s">
        <v>809</v>
      </c>
      <c r="K17" s="2" t="s">
        <v>809</v>
      </c>
      <c r="L17" s="2" t="s">
        <v>809</v>
      </c>
      <c r="M17" s="2"/>
      <c r="O17" s="221">
        <v>5</v>
      </c>
      <c r="P17" s="221">
        <v>5</v>
      </c>
      <c r="Q17" s="221">
        <v>5</v>
      </c>
      <c r="R17" s="221">
        <v>5</v>
      </c>
    </row>
    <row r="18" spans="1:18" x14ac:dyDescent="0.3">
      <c r="A18" s="221" t="s">
        <v>742</v>
      </c>
      <c r="D18" s="221">
        <v>120</v>
      </c>
      <c r="E18" s="221">
        <v>120</v>
      </c>
      <c r="F18" s="221">
        <v>99</v>
      </c>
      <c r="G18" s="221">
        <v>99</v>
      </c>
      <c r="I18" s="2" t="s">
        <v>809</v>
      </c>
      <c r="J18" s="2" t="s">
        <v>809</v>
      </c>
      <c r="K18" s="2" t="s">
        <v>809</v>
      </c>
      <c r="L18" s="2" t="s">
        <v>809</v>
      </c>
      <c r="M18" s="2"/>
      <c r="O18" s="221">
        <v>120</v>
      </c>
      <c r="P18" s="221">
        <v>120</v>
      </c>
      <c r="Q18" s="221">
        <v>99</v>
      </c>
      <c r="R18" s="221">
        <v>99</v>
      </c>
    </row>
    <row r="19" spans="1:18" x14ac:dyDescent="0.3">
      <c r="A19" s="221" t="s">
        <v>92</v>
      </c>
      <c r="D19" s="221">
        <v>544.9</v>
      </c>
      <c r="E19" s="221">
        <v>544.9</v>
      </c>
      <c r="F19" s="221">
        <v>54.9</v>
      </c>
      <c r="G19" s="221">
        <v>54.9</v>
      </c>
      <c r="I19" s="2" t="s">
        <v>809</v>
      </c>
      <c r="J19" s="2" t="s">
        <v>809</v>
      </c>
      <c r="K19" s="2" t="s">
        <v>809</v>
      </c>
      <c r="L19" s="2" t="s">
        <v>809</v>
      </c>
      <c r="M19" s="2"/>
      <c r="O19" s="221">
        <v>544.9</v>
      </c>
      <c r="P19" s="221">
        <v>544.9</v>
      </c>
      <c r="Q19" s="221">
        <v>54.9</v>
      </c>
      <c r="R19" s="221">
        <v>54.9</v>
      </c>
    </row>
    <row r="20" spans="1:18" x14ac:dyDescent="0.3">
      <c r="A20" s="206" t="s">
        <v>882</v>
      </c>
      <c r="B20" s="204"/>
      <c r="C20" s="204" t="s">
        <v>764</v>
      </c>
      <c r="D20" s="183">
        <v>123768002</v>
      </c>
      <c r="E20" s="183">
        <v>123768002</v>
      </c>
      <c r="F20" s="183">
        <v>12379072</v>
      </c>
      <c r="G20" s="183">
        <v>12379072</v>
      </c>
      <c r="I20" s="2" t="s">
        <v>809</v>
      </c>
      <c r="J20" s="2" t="s">
        <v>809</v>
      </c>
      <c r="K20" s="2" t="s">
        <v>809</v>
      </c>
      <c r="L20" s="2" t="s">
        <v>809</v>
      </c>
      <c r="M20" s="2"/>
      <c r="O20" s="101">
        <f>D20</f>
        <v>123768002</v>
      </c>
      <c r="P20" s="101">
        <f>E20</f>
        <v>123768002</v>
      </c>
      <c r="Q20" s="101">
        <f>F20</f>
        <v>12379072</v>
      </c>
      <c r="R20" s="101">
        <f>G20</f>
        <v>12379072</v>
      </c>
    </row>
    <row r="21" spans="1:18" x14ac:dyDescent="0.3">
      <c r="I21" s="221" t="s">
        <v>811</v>
      </c>
      <c r="O21" s="172" t="s">
        <v>780</v>
      </c>
      <c r="P21" s="173"/>
      <c r="Q21" s="173"/>
      <c r="R21" s="173"/>
    </row>
    <row r="22" spans="1:18" x14ac:dyDescent="0.3">
      <c r="A22" s="221" t="s">
        <v>500</v>
      </c>
    </row>
    <row r="23" spans="1:18" x14ac:dyDescent="0.3">
      <c r="A23" s="221" t="s">
        <v>546</v>
      </c>
      <c r="D23" s="101">
        <v>5000000</v>
      </c>
      <c r="E23" s="101">
        <v>5000000</v>
      </c>
      <c r="F23" s="101">
        <v>5000000</v>
      </c>
      <c r="G23" s="101">
        <v>5000000</v>
      </c>
      <c r="I23" s="101">
        <f>0.13*D23</f>
        <v>650000</v>
      </c>
      <c r="J23" s="101">
        <f t="shared" ref="J23:L27" si="4">0.13*E23</f>
        <v>650000</v>
      </c>
      <c r="K23" s="101">
        <f t="shared" si="4"/>
        <v>650000</v>
      </c>
      <c r="L23" s="101">
        <f t="shared" si="4"/>
        <v>650000</v>
      </c>
      <c r="M23" s="101"/>
      <c r="O23" s="101">
        <f>D23</f>
        <v>5000000</v>
      </c>
      <c r="P23" s="101">
        <f>E23</f>
        <v>5000000</v>
      </c>
      <c r="Q23" s="101">
        <f>F23</f>
        <v>5000000</v>
      </c>
      <c r="R23" s="101">
        <f>G23</f>
        <v>5000000</v>
      </c>
    </row>
    <row r="24" spans="1:18" x14ac:dyDescent="0.3">
      <c r="A24" s="221" t="s">
        <v>555</v>
      </c>
      <c r="D24" s="101">
        <v>5000000</v>
      </c>
      <c r="E24" s="101">
        <v>5000000</v>
      </c>
      <c r="F24" s="101">
        <v>5000000</v>
      </c>
      <c r="G24" s="101">
        <v>5000000</v>
      </c>
      <c r="I24" s="101">
        <f t="shared" ref="I24:I27" si="5">0.13*D24</f>
        <v>650000</v>
      </c>
      <c r="J24" s="101">
        <f t="shared" si="4"/>
        <v>650000</v>
      </c>
      <c r="K24" s="101">
        <f t="shared" si="4"/>
        <v>650000</v>
      </c>
      <c r="L24" s="101">
        <f t="shared" si="4"/>
        <v>650000</v>
      </c>
      <c r="M24" s="101"/>
      <c r="O24" s="101">
        <f t="shared" ref="O24:R27" si="6">D24</f>
        <v>5000000</v>
      </c>
      <c r="P24" s="101">
        <f t="shared" si="6"/>
        <v>5000000</v>
      </c>
      <c r="Q24" s="101">
        <f t="shared" si="6"/>
        <v>5000000</v>
      </c>
      <c r="R24" s="101">
        <f t="shared" si="6"/>
        <v>5000000</v>
      </c>
    </row>
    <row r="25" spans="1:18" x14ac:dyDescent="0.3">
      <c r="A25" s="221" t="s">
        <v>547</v>
      </c>
      <c r="D25" s="101">
        <v>2000000</v>
      </c>
      <c r="E25" s="101">
        <v>2000000</v>
      </c>
      <c r="F25" s="101">
        <v>2000000</v>
      </c>
      <c r="G25" s="101">
        <v>2000000</v>
      </c>
      <c r="I25" s="101">
        <f t="shared" si="5"/>
        <v>260000</v>
      </c>
      <c r="J25" s="101">
        <f t="shared" si="4"/>
        <v>260000</v>
      </c>
      <c r="K25" s="101">
        <f t="shared" si="4"/>
        <v>260000</v>
      </c>
      <c r="L25" s="101">
        <f t="shared" si="4"/>
        <v>260000</v>
      </c>
      <c r="M25" s="101"/>
      <c r="O25" s="101">
        <f t="shared" si="6"/>
        <v>2000000</v>
      </c>
      <c r="P25" s="101">
        <f t="shared" si="6"/>
        <v>2000000</v>
      </c>
      <c r="Q25" s="101">
        <f t="shared" si="6"/>
        <v>2000000</v>
      </c>
      <c r="R25" s="101">
        <f t="shared" si="6"/>
        <v>2000000</v>
      </c>
    </row>
    <row r="26" spans="1:18" x14ac:dyDescent="0.3">
      <c r="A26" s="204" t="s">
        <v>548</v>
      </c>
      <c r="B26" s="206" t="s">
        <v>875</v>
      </c>
      <c r="C26" s="205"/>
      <c r="D26" s="183">
        <v>2177040</v>
      </c>
      <c r="E26" s="183">
        <v>2177040</v>
      </c>
      <c r="F26" s="183">
        <v>2177040</v>
      </c>
      <c r="G26" s="183">
        <v>2177040</v>
      </c>
      <c r="I26" s="101">
        <f>0.13*D26</f>
        <v>283015.2</v>
      </c>
      <c r="J26" s="101">
        <f t="shared" si="4"/>
        <v>283015.2</v>
      </c>
      <c r="K26" s="101">
        <f t="shared" si="4"/>
        <v>283015.2</v>
      </c>
      <c r="L26" s="101">
        <f t="shared" si="4"/>
        <v>283015.2</v>
      </c>
      <c r="M26" s="101"/>
      <c r="O26" s="101">
        <f t="shared" si="6"/>
        <v>2177040</v>
      </c>
      <c r="P26" s="101">
        <f t="shared" si="6"/>
        <v>2177040</v>
      </c>
      <c r="Q26" s="101">
        <f t="shared" si="6"/>
        <v>2177040</v>
      </c>
      <c r="R26" s="101">
        <f t="shared" si="6"/>
        <v>2177040</v>
      </c>
    </row>
    <row r="27" spans="1:18" x14ac:dyDescent="0.3">
      <c r="A27" s="221" t="s">
        <v>550</v>
      </c>
      <c r="D27" s="101">
        <v>10000000</v>
      </c>
      <c r="E27" s="101">
        <v>10000000</v>
      </c>
      <c r="F27" s="101">
        <v>10000000</v>
      </c>
      <c r="G27" s="101">
        <v>10000000</v>
      </c>
      <c r="I27" s="101">
        <f t="shared" si="5"/>
        <v>1300000</v>
      </c>
      <c r="J27" s="101">
        <f t="shared" si="4"/>
        <v>1300000</v>
      </c>
      <c r="K27" s="101">
        <f t="shared" si="4"/>
        <v>1300000</v>
      </c>
      <c r="L27" s="101">
        <f t="shared" si="4"/>
        <v>1300000</v>
      </c>
      <c r="M27" s="101"/>
      <c r="O27" s="101">
        <f t="shared" si="6"/>
        <v>10000000</v>
      </c>
      <c r="P27" s="101">
        <f t="shared" si="6"/>
        <v>10000000</v>
      </c>
      <c r="Q27" s="101">
        <f t="shared" si="6"/>
        <v>10000000</v>
      </c>
      <c r="R27" s="101">
        <f t="shared" si="6"/>
        <v>10000000</v>
      </c>
    </row>
    <row r="28" spans="1:18" x14ac:dyDescent="0.3">
      <c r="G28" s="101"/>
      <c r="O28" s="172" t="s">
        <v>780</v>
      </c>
      <c r="P28" s="173"/>
      <c r="Q28" s="173"/>
      <c r="R28" s="173"/>
    </row>
    <row r="29" spans="1:18" x14ac:dyDescent="0.3">
      <c r="A29" s="221" t="s">
        <v>762</v>
      </c>
      <c r="G29" s="101"/>
      <c r="R29" s="101"/>
    </row>
    <row r="30" spans="1:18" x14ac:dyDescent="0.3">
      <c r="A30" s="221" t="str">
        <f>'Svc-Reliability-Financ COFcalc'!A7</f>
        <v>emergency response and incident management cost</v>
      </c>
      <c r="D30" s="101">
        <v>5000000</v>
      </c>
      <c r="E30" s="101">
        <v>5000000</v>
      </c>
      <c r="F30" s="101">
        <v>5000000</v>
      </c>
      <c r="G30" s="101">
        <v>5000000</v>
      </c>
      <c r="I30" s="101">
        <f>0.13*D30</f>
        <v>650000</v>
      </c>
      <c r="J30" s="101">
        <f t="shared" ref="J30:L45" si="7">0.13*E30</f>
        <v>650000</v>
      </c>
      <c r="K30" s="101">
        <f t="shared" si="7"/>
        <v>650000</v>
      </c>
      <c r="L30" s="101">
        <f t="shared" si="7"/>
        <v>650000</v>
      </c>
      <c r="M30" s="101"/>
      <c r="O30" s="101">
        <f>D30</f>
        <v>5000000</v>
      </c>
      <c r="P30" s="101">
        <f>E30</f>
        <v>5000000</v>
      </c>
      <c r="Q30" s="101">
        <f>F30</f>
        <v>5000000</v>
      </c>
      <c r="R30" s="101">
        <f>G30</f>
        <v>5000000</v>
      </c>
    </row>
    <row r="31" spans="1:18" x14ac:dyDescent="0.3">
      <c r="A31" s="221" t="str">
        <f>'Svc-Reliability-Financ COFcalc'!A8</f>
        <v>product lost during leak</v>
      </c>
      <c r="D31" s="101">
        <v>5760000</v>
      </c>
      <c r="E31" s="101">
        <v>5760000</v>
      </c>
      <c r="F31" s="101">
        <v>5760000</v>
      </c>
      <c r="G31" s="101">
        <v>5760000</v>
      </c>
      <c r="I31" s="101">
        <f t="shared" ref="I31:I45" si="8">0.13*D31</f>
        <v>748800</v>
      </c>
      <c r="J31" s="101">
        <f t="shared" si="7"/>
        <v>748800</v>
      </c>
      <c r="K31" s="101">
        <f t="shared" si="7"/>
        <v>748800</v>
      </c>
      <c r="L31" s="101">
        <f t="shared" si="7"/>
        <v>748800</v>
      </c>
      <c r="M31" s="101"/>
      <c r="O31" s="101">
        <f t="shared" ref="O31:R45" si="9">D31</f>
        <v>5760000</v>
      </c>
      <c r="P31" s="101">
        <f t="shared" si="9"/>
        <v>5760000</v>
      </c>
      <c r="Q31" s="101">
        <f t="shared" si="9"/>
        <v>5760000</v>
      </c>
      <c r="R31" s="101">
        <f t="shared" si="9"/>
        <v>5760000</v>
      </c>
    </row>
    <row r="32" spans="1:18" x14ac:dyDescent="0.3">
      <c r="A32" s="221" t="str">
        <f>'Svc-Reliability-Financ COFcalc'!A9</f>
        <v>degradation of product/service quality</v>
      </c>
      <c r="D32" s="101">
        <v>10000000</v>
      </c>
      <c r="E32" s="101">
        <v>10000000</v>
      </c>
      <c r="F32" s="101">
        <v>10000000</v>
      </c>
      <c r="G32" s="101">
        <v>10000000</v>
      </c>
      <c r="I32" s="101">
        <f t="shared" si="8"/>
        <v>1300000</v>
      </c>
      <c r="J32" s="101">
        <f t="shared" si="7"/>
        <v>1300000</v>
      </c>
      <c r="K32" s="101">
        <f t="shared" si="7"/>
        <v>1300000</v>
      </c>
      <c r="L32" s="101">
        <f t="shared" si="7"/>
        <v>1300000</v>
      </c>
      <c r="M32" s="101"/>
      <c r="O32" s="101">
        <f t="shared" si="9"/>
        <v>10000000</v>
      </c>
      <c r="P32" s="101">
        <f t="shared" si="9"/>
        <v>10000000</v>
      </c>
      <c r="Q32" s="101">
        <f t="shared" si="9"/>
        <v>10000000</v>
      </c>
      <c r="R32" s="101">
        <f t="shared" si="9"/>
        <v>10000000</v>
      </c>
    </row>
    <row r="33" spans="1:52" x14ac:dyDescent="0.3">
      <c r="A33" s="221" t="str">
        <f>'Svc-Reliability-Financ COFcalc'!A10</f>
        <v>business interruption/service interruption cost, loss of market share/loss of customers</v>
      </c>
      <c r="D33" s="101">
        <v>10000000</v>
      </c>
      <c r="E33" s="101">
        <v>10000000</v>
      </c>
      <c r="F33" s="101">
        <v>10000000</v>
      </c>
      <c r="G33" s="101">
        <v>10000000</v>
      </c>
      <c r="I33" s="101">
        <f t="shared" si="8"/>
        <v>1300000</v>
      </c>
      <c r="J33" s="101">
        <f t="shared" si="7"/>
        <v>1300000</v>
      </c>
      <c r="K33" s="101">
        <f t="shared" si="7"/>
        <v>1300000</v>
      </c>
      <c r="L33" s="101">
        <f t="shared" si="7"/>
        <v>1300000</v>
      </c>
      <c r="M33" s="101"/>
      <c r="O33" s="101">
        <f t="shared" si="9"/>
        <v>10000000</v>
      </c>
      <c r="P33" s="101">
        <f t="shared" si="9"/>
        <v>10000000</v>
      </c>
      <c r="Q33" s="101">
        <f t="shared" si="9"/>
        <v>10000000</v>
      </c>
      <c r="R33" s="101">
        <f t="shared" si="9"/>
        <v>10000000</v>
      </c>
    </row>
    <row r="34" spans="1:52" x14ac:dyDescent="0.3">
      <c r="A34" s="221" t="str">
        <f>'Svc-Reliability-Financ COFcalc'!A11</f>
        <v>ability to compensate for flow/service loss</v>
      </c>
      <c r="D34" s="101">
        <v>10000000</v>
      </c>
      <c r="E34" s="101">
        <v>10000000</v>
      </c>
      <c r="F34" s="101">
        <v>10000000</v>
      </c>
      <c r="G34" s="101">
        <v>10000000</v>
      </c>
      <c r="I34" s="101">
        <f t="shared" si="8"/>
        <v>1300000</v>
      </c>
      <c r="J34" s="101">
        <f t="shared" si="7"/>
        <v>1300000</v>
      </c>
      <c r="K34" s="101">
        <f t="shared" si="7"/>
        <v>1300000</v>
      </c>
      <c r="L34" s="101">
        <f t="shared" si="7"/>
        <v>1300000</v>
      </c>
      <c r="M34" s="101"/>
      <c r="O34" s="101">
        <f t="shared" si="9"/>
        <v>10000000</v>
      </c>
      <c r="P34" s="101">
        <f t="shared" si="9"/>
        <v>10000000</v>
      </c>
      <c r="Q34" s="101">
        <f t="shared" si="9"/>
        <v>10000000</v>
      </c>
      <c r="R34" s="101">
        <f t="shared" si="9"/>
        <v>10000000</v>
      </c>
    </row>
    <row r="35" spans="1:52" x14ac:dyDescent="0.3">
      <c r="A35" s="221" t="str">
        <f>'Svc-Reliability-Financ COFcalc'!A12</f>
        <v>deployment costs for emergency response personnel</v>
      </c>
      <c r="D35" s="101">
        <v>5000000</v>
      </c>
      <c r="E35" s="101">
        <v>5000000</v>
      </c>
      <c r="F35" s="101">
        <v>5000000</v>
      </c>
      <c r="G35" s="101">
        <v>5000000</v>
      </c>
      <c r="I35" s="101">
        <f t="shared" si="8"/>
        <v>650000</v>
      </c>
      <c r="J35" s="101">
        <f t="shared" si="7"/>
        <v>650000</v>
      </c>
      <c r="K35" s="101">
        <f t="shared" si="7"/>
        <v>650000</v>
      </c>
      <c r="L35" s="101">
        <f t="shared" si="7"/>
        <v>650000</v>
      </c>
      <c r="M35" s="101"/>
      <c r="O35" s="101">
        <f t="shared" si="9"/>
        <v>5000000</v>
      </c>
      <c r="P35" s="101">
        <f t="shared" si="9"/>
        <v>5000000</v>
      </c>
      <c r="Q35" s="101">
        <f t="shared" si="9"/>
        <v>5000000</v>
      </c>
      <c r="R35" s="101">
        <f t="shared" si="9"/>
        <v>5000000</v>
      </c>
    </row>
    <row r="36" spans="1:52" x14ac:dyDescent="0.3">
      <c r="A36" s="221" t="str">
        <f>'Svc-Reliability-Financ COFcalc'!A13</f>
        <v xml:space="preserve">equipment repair and restoration </v>
      </c>
      <c r="D36" s="101">
        <v>10000000</v>
      </c>
      <c r="E36" s="101">
        <v>10000000</v>
      </c>
      <c r="F36" s="101">
        <v>10000000</v>
      </c>
      <c r="G36" s="101">
        <v>10000000</v>
      </c>
      <c r="I36" s="101">
        <f t="shared" si="8"/>
        <v>1300000</v>
      </c>
      <c r="J36" s="101">
        <f t="shared" si="7"/>
        <v>1300000</v>
      </c>
      <c r="K36" s="101">
        <f t="shared" si="7"/>
        <v>1300000</v>
      </c>
      <c r="L36" s="101">
        <f t="shared" si="7"/>
        <v>1300000</v>
      </c>
      <c r="M36" s="101"/>
      <c r="O36" s="101">
        <f t="shared" si="9"/>
        <v>10000000</v>
      </c>
      <c r="P36" s="101">
        <f t="shared" si="9"/>
        <v>10000000</v>
      </c>
      <c r="Q36" s="101">
        <f t="shared" si="9"/>
        <v>10000000</v>
      </c>
      <c r="R36" s="101">
        <f t="shared" si="9"/>
        <v>10000000</v>
      </c>
    </row>
    <row r="37" spans="1:52" x14ac:dyDescent="0.3">
      <c r="A37" s="221" t="str">
        <f>'Svc-Reliability-Financ COFcalc'!A14</f>
        <v xml:space="preserve"> on-site and off-site property damage [incl. damage to adjacent eqpt and further business/service impacts] </v>
      </c>
      <c r="D37" s="101">
        <v>10000000</v>
      </c>
      <c r="E37" s="101">
        <v>10000000</v>
      </c>
      <c r="F37" s="101">
        <v>5000000</v>
      </c>
      <c r="G37" s="101">
        <v>5000000</v>
      </c>
      <c r="I37" s="101">
        <f t="shared" si="8"/>
        <v>1300000</v>
      </c>
      <c r="J37" s="101">
        <f t="shared" si="7"/>
        <v>1300000</v>
      </c>
      <c r="K37" s="101">
        <f t="shared" si="7"/>
        <v>650000</v>
      </c>
      <c r="L37" s="101">
        <f t="shared" si="7"/>
        <v>650000</v>
      </c>
      <c r="M37" s="101"/>
      <c r="O37" s="101">
        <f t="shared" si="9"/>
        <v>10000000</v>
      </c>
      <c r="P37" s="101">
        <f t="shared" si="9"/>
        <v>10000000</v>
      </c>
      <c r="Q37" s="101">
        <f t="shared" si="9"/>
        <v>5000000</v>
      </c>
      <c r="R37" s="101">
        <f t="shared" si="9"/>
        <v>5000000</v>
      </c>
    </row>
    <row r="38" spans="1:52" x14ac:dyDescent="0.3">
      <c r="A38" s="221" t="str">
        <f>'Svc-Reliability-Financ COFcalc'!A15</f>
        <v>relocation/reimbursement</v>
      </c>
      <c r="D38" s="101">
        <v>2000000</v>
      </c>
      <c r="E38" s="101">
        <v>2000000</v>
      </c>
      <c r="F38" s="101">
        <v>1000000</v>
      </c>
      <c r="G38" s="101">
        <v>1000000</v>
      </c>
      <c r="I38" s="101">
        <f t="shared" si="8"/>
        <v>260000</v>
      </c>
      <c r="J38" s="101">
        <f t="shared" si="7"/>
        <v>260000</v>
      </c>
      <c r="K38" s="101">
        <f t="shared" si="7"/>
        <v>130000</v>
      </c>
      <c r="L38" s="101">
        <f t="shared" si="7"/>
        <v>130000</v>
      </c>
      <c r="M38" s="101"/>
      <c r="O38" s="101">
        <f t="shared" si="9"/>
        <v>2000000</v>
      </c>
      <c r="P38" s="101">
        <f t="shared" si="9"/>
        <v>2000000</v>
      </c>
      <c r="Q38" s="101">
        <f t="shared" si="9"/>
        <v>1000000</v>
      </c>
      <c r="R38" s="101">
        <f t="shared" si="9"/>
        <v>1000000</v>
      </c>
    </row>
    <row r="39" spans="1:52" x14ac:dyDescent="0.3">
      <c r="A39" s="221" t="str">
        <f>'Svc-Reliability-Financ COFcalc'!A16</f>
        <v>cost of cascading business risk [interruption of flow/feed to the next point curtails that activity as well]</v>
      </c>
      <c r="D39" s="101">
        <v>5000000</v>
      </c>
      <c r="E39" s="101">
        <v>5000000</v>
      </c>
      <c r="F39" s="101">
        <v>5000000</v>
      </c>
      <c r="G39" s="101">
        <v>5000000</v>
      </c>
      <c r="I39" s="101">
        <f t="shared" si="8"/>
        <v>650000</v>
      </c>
      <c r="J39" s="101">
        <f t="shared" si="7"/>
        <v>650000</v>
      </c>
      <c r="K39" s="101">
        <f t="shared" si="7"/>
        <v>650000</v>
      </c>
      <c r="L39" s="101">
        <f t="shared" si="7"/>
        <v>650000</v>
      </c>
      <c r="M39" s="101"/>
      <c r="O39" s="101">
        <f t="shared" si="9"/>
        <v>5000000</v>
      </c>
      <c r="P39" s="101">
        <f t="shared" si="9"/>
        <v>5000000</v>
      </c>
      <c r="Q39" s="101">
        <f t="shared" si="9"/>
        <v>5000000</v>
      </c>
      <c r="R39" s="101">
        <f t="shared" si="9"/>
        <v>5000000</v>
      </c>
    </row>
    <row r="40" spans="1:52" x14ac:dyDescent="0.3">
      <c r="A40" s="221" t="str">
        <f>'Svc-Reliability-Financ COFcalc'!A17</f>
        <v xml:space="preserve">loss of goodwill/public reputation </v>
      </c>
      <c r="D40" s="101">
        <v>5000000</v>
      </c>
      <c r="E40" s="101">
        <v>5000000</v>
      </c>
      <c r="F40" s="101">
        <v>2000000</v>
      </c>
      <c r="G40" s="101">
        <v>2000000</v>
      </c>
      <c r="I40" s="101">
        <f t="shared" si="8"/>
        <v>650000</v>
      </c>
      <c r="J40" s="101">
        <f t="shared" si="7"/>
        <v>650000</v>
      </c>
      <c r="K40" s="101">
        <f t="shared" si="7"/>
        <v>260000</v>
      </c>
      <c r="L40" s="101">
        <f t="shared" si="7"/>
        <v>260000</v>
      </c>
      <c r="M40" s="101"/>
      <c r="O40" s="101">
        <f t="shared" si="9"/>
        <v>5000000</v>
      </c>
      <c r="P40" s="101">
        <f t="shared" si="9"/>
        <v>5000000</v>
      </c>
      <c r="Q40" s="101">
        <f t="shared" si="9"/>
        <v>2000000</v>
      </c>
      <c r="R40" s="101">
        <f t="shared" si="9"/>
        <v>2000000</v>
      </c>
    </row>
    <row r="41" spans="1:52" x14ac:dyDescent="0.3">
      <c r="A41" s="221" t="str">
        <f>'Svc-Reliability-Financ COFcalc'!A18</f>
        <v>increased cost of insurance</v>
      </c>
      <c r="D41" s="101">
        <v>10000000</v>
      </c>
      <c r="E41" s="101">
        <v>10000000</v>
      </c>
      <c r="F41" s="101">
        <v>5000000</v>
      </c>
      <c r="G41" s="101">
        <v>5000000</v>
      </c>
      <c r="I41" s="101">
        <f t="shared" si="8"/>
        <v>1300000</v>
      </c>
      <c r="J41" s="101">
        <f t="shared" si="7"/>
        <v>1300000</v>
      </c>
      <c r="K41" s="101">
        <f t="shared" si="7"/>
        <v>650000</v>
      </c>
      <c r="L41" s="101">
        <f t="shared" si="7"/>
        <v>650000</v>
      </c>
      <c r="M41" s="101"/>
      <c r="O41" s="101">
        <f t="shared" si="9"/>
        <v>10000000</v>
      </c>
      <c r="P41" s="101">
        <f t="shared" si="9"/>
        <v>10000000</v>
      </c>
      <c r="Q41" s="101">
        <f t="shared" si="9"/>
        <v>5000000</v>
      </c>
      <c r="R41" s="101">
        <f t="shared" si="9"/>
        <v>5000000</v>
      </c>
    </row>
    <row r="42" spans="1:52" x14ac:dyDescent="0.3">
      <c r="A42" s="221" t="str">
        <f>'Svc-Reliability-Financ COFcalc'!A19</f>
        <v xml:space="preserve"> litigation costs</v>
      </c>
      <c r="D42" s="101">
        <v>50000000</v>
      </c>
      <c r="E42" s="101">
        <v>50000000</v>
      </c>
      <c r="F42" s="101">
        <v>20000000</v>
      </c>
      <c r="G42" s="101">
        <v>20000000</v>
      </c>
      <c r="I42" s="101">
        <f t="shared" si="8"/>
        <v>6500000</v>
      </c>
      <c r="J42" s="101">
        <f t="shared" si="7"/>
        <v>6500000</v>
      </c>
      <c r="K42" s="101">
        <f t="shared" si="7"/>
        <v>2600000</v>
      </c>
      <c r="L42" s="101">
        <f t="shared" si="7"/>
        <v>2600000</v>
      </c>
      <c r="M42" s="101"/>
      <c r="O42" s="101">
        <f t="shared" si="9"/>
        <v>50000000</v>
      </c>
      <c r="P42" s="101">
        <f t="shared" si="9"/>
        <v>50000000</v>
      </c>
      <c r="Q42" s="101">
        <f t="shared" si="9"/>
        <v>20000000</v>
      </c>
      <c r="R42" s="101">
        <f t="shared" si="9"/>
        <v>20000000</v>
      </c>
    </row>
    <row r="43" spans="1:52" x14ac:dyDescent="0.3">
      <c r="A43" s="221" t="str">
        <f>'Svc-Reliability-Financ COFcalc'!A20</f>
        <v xml:space="preserve">regulatory actions/fines/cost of new regs </v>
      </c>
      <c r="D43" s="101">
        <v>50000000</v>
      </c>
      <c r="E43" s="101">
        <v>50000000</v>
      </c>
      <c r="F43" s="101">
        <v>20000000</v>
      </c>
      <c r="G43" s="101">
        <v>20000000</v>
      </c>
      <c r="I43" s="101">
        <f t="shared" si="8"/>
        <v>6500000</v>
      </c>
      <c r="J43" s="101">
        <f t="shared" si="7"/>
        <v>6500000</v>
      </c>
      <c r="K43" s="101">
        <f t="shared" si="7"/>
        <v>2600000</v>
      </c>
      <c r="L43" s="101">
        <f t="shared" si="7"/>
        <v>2600000</v>
      </c>
      <c r="M43" s="101"/>
      <c r="O43" s="101">
        <f t="shared" si="9"/>
        <v>50000000</v>
      </c>
      <c r="P43" s="101">
        <f t="shared" si="9"/>
        <v>50000000</v>
      </c>
      <c r="Q43" s="101">
        <f t="shared" si="9"/>
        <v>20000000</v>
      </c>
      <c r="R43" s="101">
        <f t="shared" si="9"/>
        <v>20000000</v>
      </c>
    </row>
    <row r="44" spans="1:52" x14ac:dyDescent="0.3">
      <c r="A44" s="221" t="str">
        <f>'Svc-Reliability-Financ COFcalc'!A23</f>
        <v>Home air/local water source monitoring</v>
      </c>
      <c r="D44" s="101">
        <v>5000000</v>
      </c>
      <c r="E44" s="101">
        <v>5000000</v>
      </c>
      <c r="F44" s="101">
        <v>1000000</v>
      </c>
      <c r="G44" s="101">
        <v>1000000</v>
      </c>
      <c r="I44" s="101">
        <f t="shared" si="8"/>
        <v>650000</v>
      </c>
      <c r="J44" s="101">
        <f t="shared" si="7"/>
        <v>650000</v>
      </c>
      <c r="K44" s="101">
        <f t="shared" si="7"/>
        <v>130000</v>
      </c>
      <c r="L44" s="101">
        <f t="shared" si="7"/>
        <v>130000</v>
      </c>
      <c r="M44" s="101"/>
      <c r="O44" s="101">
        <f t="shared" si="9"/>
        <v>5000000</v>
      </c>
      <c r="P44" s="101">
        <f t="shared" si="9"/>
        <v>5000000</v>
      </c>
      <c r="Q44" s="101">
        <f t="shared" si="9"/>
        <v>1000000</v>
      </c>
      <c r="R44" s="101">
        <f t="shared" si="9"/>
        <v>1000000</v>
      </c>
    </row>
    <row r="45" spans="1:52" x14ac:dyDescent="0.3">
      <c r="A45" s="221" t="str">
        <f>'Svc-Reliability-Financ COFcalc'!A28</f>
        <v>Wildlife/endangered species impact</v>
      </c>
      <c r="D45" s="101">
        <v>500000</v>
      </c>
      <c r="E45" s="101">
        <v>500000</v>
      </c>
      <c r="F45" s="101">
        <v>500000</v>
      </c>
      <c r="G45" s="101">
        <v>500000</v>
      </c>
      <c r="I45" s="101">
        <f t="shared" si="8"/>
        <v>65000</v>
      </c>
      <c r="J45" s="101">
        <f t="shared" si="7"/>
        <v>65000</v>
      </c>
      <c r="K45" s="101">
        <f t="shared" si="7"/>
        <v>65000</v>
      </c>
      <c r="L45" s="101">
        <f t="shared" si="7"/>
        <v>65000</v>
      </c>
      <c r="M45" s="101"/>
      <c r="O45" s="101">
        <f t="shared" si="9"/>
        <v>500000</v>
      </c>
      <c r="P45" s="101">
        <f t="shared" si="9"/>
        <v>500000</v>
      </c>
      <c r="Q45" s="101">
        <f t="shared" si="9"/>
        <v>500000</v>
      </c>
      <c r="R45" s="101">
        <f t="shared" si="9"/>
        <v>500000</v>
      </c>
      <c r="AV45" s="252" t="s">
        <v>1063</v>
      </c>
      <c r="AW45" s="252"/>
      <c r="AX45" s="252"/>
      <c r="AY45" s="252" t="s">
        <v>1064</v>
      </c>
    </row>
    <row r="46" spans="1:52" x14ac:dyDescent="0.3">
      <c r="G46" s="101"/>
      <c r="O46" s="172" t="s">
        <v>780</v>
      </c>
      <c r="P46" s="173"/>
      <c r="Q46" s="173"/>
      <c r="R46" s="173"/>
      <c r="AV46" s="221" t="s">
        <v>918</v>
      </c>
      <c r="AY46" s="221" t="s">
        <v>921</v>
      </c>
    </row>
    <row r="47" spans="1:52" x14ac:dyDescent="0.3">
      <c r="G47" s="101"/>
      <c r="R47" s="101"/>
      <c r="AV47" s="221">
        <f>24*365</f>
        <v>8760</v>
      </c>
      <c r="AW47" s="221" t="s">
        <v>919</v>
      </c>
      <c r="AY47" s="221">
        <v>8760</v>
      </c>
      <c r="AZ47" s="221" t="s">
        <v>919</v>
      </c>
    </row>
    <row r="48" spans="1:52" x14ac:dyDescent="0.3">
      <c r="C48" s="174" t="s">
        <v>799</v>
      </c>
      <c r="D48" s="175">
        <v>373530042</v>
      </c>
      <c r="E48" s="175">
        <v>341217972</v>
      </c>
      <c r="F48" s="175">
        <v>184141112</v>
      </c>
      <c r="G48" s="175">
        <v>151829042</v>
      </c>
      <c r="I48" s="175">
        <f>SUM(I14, I23:I27, I30:I45)</f>
        <v>92916815.200000018</v>
      </c>
      <c r="J48" s="175">
        <f t="shared" ref="J48:L48" si="10">SUM(J14, J23:J27, J30:J45)</f>
        <v>60604745.200000003</v>
      </c>
      <c r="K48" s="175">
        <f t="shared" si="10"/>
        <v>82776815.200000018</v>
      </c>
      <c r="L48" s="175">
        <f t="shared" si="10"/>
        <v>50464745.200000003</v>
      </c>
      <c r="M48" s="175"/>
      <c r="O48" s="185">
        <f>SUM(O14,O20,SUM(O23:O45))</f>
        <v>373530042</v>
      </c>
      <c r="P48" s="185">
        <f t="shared" ref="P48:R48" si="11">SUM(P14,P20,SUM(P23:P45))</f>
        <v>341217972</v>
      </c>
      <c r="Q48" s="185">
        <f t="shared" si="11"/>
        <v>184141112</v>
      </c>
      <c r="R48" s="185">
        <f t="shared" si="11"/>
        <v>151829042</v>
      </c>
      <c r="AV48" s="221">
        <f>2.04*8760</f>
        <v>17870.400000000001</v>
      </c>
      <c r="AW48" s="221" t="s">
        <v>920</v>
      </c>
      <c r="AY48" s="221">
        <f>0.17*8760</f>
        <v>1489.2</v>
      </c>
      <c r="AZ48" s="221" t="s">
        <v>920</v>
      </c>
    </row>
    <row r="49" spans="1:54" x14ac:dyDescent="0.3">
      <c r="G49" s="101"/>
      <c r="R49" s="101"/>
      <c r="AV49" s="221">
        <f>AV48/1000000*19.3*47</f>
        <v>16.210239840000003</v>
      </c>
      <c r="AW49" s="221" t="s">
        <v>922</v>
      </c>
      <c r="AY49" s="221">
        <f>AY48/1000000*19.3*47</f>
        <v>1.3508533199999999</v>
      </c>
      <c r="AZ49" s="221" t="s">
        <v>922</v>
      </c>
    </row>
    <row r="50" spans="1:54" x14ac:dyDescent="0.3">
      <c r="C50" s="221" t="s">
        <v>768</v>
      </c>
      <c r="D50" s="101">
        <v>32325000.000000004</v>
      </c>
      <c r="E50" s="101">
        <v>12930</v>
      </c>
      <c r="F50" s="101">
        <v>32325000.000000004</v>
      </c>
      <c r="G50" s="101">
        <v>12930</v>
      </c>
      <c r="I50" s="101">
        <f>I14</f>
        <v>64650000.000000007</v>
      </c>
      <c r="J50" s="101">
        <f t="shared" ref="J50:L50" si="12">J14</f>
        <v>32337930</v>
      </c>
      <c r="K50" s="101">
        <f t="shared" si="12"/>
        <v>64650000.000000007</v>
      </c>
      <c r="L50" s="101">
        <f t="shared" si="12"/>
        <v>32337930</v>
      </c>
      <c r="M50" s="101"/>
      <c r="O50" s="101">
        <f t="shared" ref="O50:R53" si="13">D50</f>
        <v>32325000.000000004</v>
      </c>
      <c r="P50" s="101">
        <f t="shared" si="13"/>
        <v>12930</v>
      </c>
      <c r="Q50" s="101">
        <f t="shared" si="13"/>
        <v>32325000.000000004</v>
      </c>
      <c r="R50" s="101">
        <f t="shared" si="13"/>
        <v>12930</v>
      </c>
    </row>
    <row r="51" spans="1:54" x14ac:dyDescent="0.3">
      <c r="C51" s="221" t="s">
        <v>769</v>
      </c>
      <c r="D51" s="101">
        <v>6088520</v>
      </c>
      <c r="E51" s="101">
        <v>6088520</v>
      </c>
      <c r="F51" s="101">
        <v>6088520</v>
      </c>
      <c r="G51" s="101">
        <v>6088520</v>
      </c>
      <c r="I51" s="101">
        <f>SUM(I23:I27)</f>
        <v>3143015.2</v>
      </c>
      <c r="J51" s="101">
        <f t="shared" ref="J51:L51" si="14">SUM(J23:J27)</f>
        <v>3143015.2</v>
      </c>
      <c r="K51" s="101">
        <f t="shared" si="14"/>
        <v>3143015.2</v>
      </c>
      <c r="L51" s="101">
        <f t="shared" si="14"/>
        <v>3143015.2</v>
      </c>
      <c r="M51" s="101"/>
      <c r="O51" s="101">
        <f t="shared" si="13"/>
        <v>6088520</v>
      </c>
      <c r="P51" s="101">
        <f t="shared" si="13"/>
        <v>6088520</v>
      </c>
      <c r="Q51" s="101">
        <f t="shared" si="13"/>
        <v>6088520</v>
      </c>
      <c r="R51" s="101">
        <f t="shared" si="13"/>
        <v>6088520</v>
      </c>
    </row>
    <row r="52" spans="1:54" x14ac:dyDescent="0.3">
      <c r="C52" s="8" t="s">
        <v>770</v>
      </c>
      <c r="D52" s="170">
        <v>96630000</v>
      </c>
      <c r="E52" s="170">
        <v>96630000</v>
      </c>
      <c r="F52" s="170">
        <v>57630000</v>
      </c>
      <c r="G52" s="170">
        <v>57630000</v>
      </c>
      <c r="I52" s="170">
        <f>SUM(I30:I45)</f>
        <v>25123800</v>
      </c>
      <c r="J52" s="170">
        <f t="shared" ref="J52:L52" si="15">SUM(J30:J45)</f>
        <v>25123800</v>
      </c>
      <c r="K52" s="170">
        <f t="shared" si="15"/>
        <v>14983800</v>
      </c>
      <c r="L52" s="170">
        <f t="shared" si="15"/>
        <v>14983800</v>
      </c>
      <c r="M52" s="208"/>
      <c r="O52" s="101">
        <f t="shared" si="13"/>
        <v>96630000</v>
      </c>
      <c r="P52" s="101">
        <f t="shared" si="13"/>
        <v>96630000</v>
      </c>
      <c r="Q52" s="101">
        <f t="shared" si="13"/>
        <v>57630000</v>
      </c>
      <c r="R52" s="101">
        <f t="shared" si="13"/>
        <v>57630000</v>
      </c>
    </row>
    <row r="53" spans="1:54" x14ac:dyDescent="0.3">
      <c r="C53" s="146" t="s">
        <v>773</v>
      </c>
      <c r="D53" s="171">
        <v>135043520</v>
      </c>
      <c r="E53" s="171">
        <v>102731450</v>
      </c>
      <c r="F53" s="171">
        <v>96043520</v>
      </c>
      <c r="G53" s="171">
        <v>63731450</v>
      </c>
      <c r="I53" s="171">
        <f>SUM(I50:I52)</f>
        <v>92916815.200000003</v>
      </c>
      <c r="J53" s="171">
        <f t="shared" ref="J53:L53" si="16">SUM(J50:J52)</f>
        <v>60604745.200000003</v>
      </c>
      <c r="K53" s="171">
        <f t="shared" si="16"/>
        <v>82776815.200000003</v>
      </c>
      <c r="L53" s="171">
        <f t="shared" si="16"/>
        <v>50464745.200000003</v>
      </c>
      <c r="M53" s="171"/>
      <c r="O53" s="101">
        <f t="shared" si="13"/>
        <v>135043520</v>
      </c>
      <c r="P53" s="101">
        <f t="shared" si="13"/>
        <v>102731450</v>
      </c>
      <c r="Q53" s="101">
        <f t="shared" si="13"/>
        <v>96043520</v>
      </c>
      <c r="R53" s="101">
        <f t="shared" si="13"/>
        <v>63731450</v>
      </c>
      <c r="BB53" s="221" t="s">
        <v>1060</v>
      </c>
    </row>
    <row r="54" spans="1:54" x14ac:dyDescent="0.3">
      <c r="D54" s="101"/>
      <c r="E54" s="101"/>
      <c r="F54" s="101"/>
      <c r="G54" s="101"/>
      <c r="O54" s="101"/>
      <c r="P54" s="101"/>
      <c r="Q54" s="101"/>
      <c r="R54" s="101"/>
      <c r="AS54" s="221" t="s">
        <v>913</v>
      </c>
      <c r="BB54" s="221">
        <f>0.71/0.05</f>
        <v>14.2</v>
      </c>
    </row>
    <row r="55" spans="1:54" x14ac:dyDescent="0.3">
      <c r="O55" s="101"/>
      <c r="AT55" s="221">
        <v>9324</v>
      </c>
      <c r="AU55" s="221" t="s">
        <v>914</v>
      </c>
      <c r="BB55" s="221">
        <f>36.65/2.454</f>
        <v>14.934800325998369</v>
      </c>
    </row>
    <row r="56" spans="1:54" x14ac:dyDescent="0.3">
      <c r="C56" s="221" t="s">
        <v>771</v>
      </c>
      <c r="D56" s="101">
        <v>123768002</v>
      </c>
      <c r="E56" s="101">
        <v>123768002</v>
      </c>
      <c r="F56" s="101">
        <v>12379072</v>
      </c>
      <c r="G56" s="101">
        <v>12379072</v>
      </c>
      <c r="O56" s="101">
        <f>D56</f>
        <v>123768002</v>
      </c>
      <c r="P56" s="101">
        <f>E56</f>
        <v>123768002</v>
      </c>
      <c r="Q56" s="101">
        <f>F56</f>
        <v>12379072</v>
      </c>
      <c r="R56" s="101">
        <f>G56</f>
        <v>12379072</v>
      </c>
      <c r="AT56" s="221">
        <v>276014</v>
      </c>
      <c r="AU56" s="221" t="s">
        <v>109</v>
      </c>
    </row>
    <row r="57" spans="1:54" x14ac:dyDescent="0.3">
      <c r="C57" s="221" t="s">
        <v>772</v>
      </c>
      <c r="D57" s="101">
        <v>18088520</v>
      </c>
      <c r="E57" s="101">
        <v>18088520</v>
      </c>
      <c r="F57" s="101">
        <v>18088520</v>
      </c>
      <c r="G57" s="101">
        <v>18088520</v>
      </c>
      <c r="O57" s="101">
        <f t="shared" ref="O57:R59" si="17">D57</f>
        <v>18088520</v>
      </c>
      <c r="P57" s="101">
        <f t="shared" si="17"/>
        <v>18088520</v>
      </c>
      <c r="Q57" s="101">
        <f t="shared" si="17"/>
        <v>18088520</v>
      </c>
      <c r="R57" s="101">
        <f t="shared" si="17"/>
        <v>18088520</v>
      </c>
      <c r="AT57" s="221">
        <f>AT56/AT55</f>
        <v>29.602531102531103</v>
      </c>
      <c r="AU57" s="221" t="s">
        <v>915</v>
      </c>
    </row>
    <row r="58" spans="1:54" x14ac:dyDescent="0.3">
      <c r="C58" s="8" t="s">
        <v>813</v>
      </c>
      <c r="D58" s="170">
        <v>96630000</v>
      </c>
      <c r="E58" s="170">
        <v>96630000</v>
      </c>
      <c r="F58" s="170">
        <v>57630000</v>
      </c>
      <c r="G58" s="170">
        <v>57630000</v>
      </c>
      <c r="O58" s="101">
        <f t="shared" si="17"/>
        <v>96630000</v>
      </c>
      <c r="P58" s="101">
        <f t="shared" si="17"/>
        <v>96630000</v>
      </c>
      <c r="Q58" s="101">
        <f t="shared" si="17"/>
        <v>57630000</v>
      </c>
      <c r="R58" s="101">
        <f t="shared" si="17"/>
        <v>57630000</v>
      </c>
      <c r="AT58" s="221">
        <v>10</v>
      </c>
      <c r="AU58" s="221" t="s">
        <v>916</v>
      </c>
    </row>
    <row r="59" spans="1:54" x14ac:dyDescent="0.3">
      <c r="C59" s="146" t="s">
        <v>774</v>
      </c>
      <c r="D59" s="171">
        <v>238486522</v>
      </c>
      <c r="E59" s="171">
        <v>238486522</v>
      </c>
      <c r="F59" s="171">
        <v>88097592</v>
      </c>
      <c r="G59" s="171">
        <v>88097592</v>
      </c>
      <c r="M59" s="242"/>
      <c r="N59" s="242" t="s">
        <v>1007</v>
      </c>
      <c r="O59" s="101">
        <f t="shared" si="17"/>
        <v>238486522</v>
      </c>
      <c r="P59" s="101">
        <f t="shared" si="17"/>
        <v>238486522</v>
      </c>
      <c r="Q59" s="101">
        <f t="shared" si="17"/>
        <v>88097592</v>
      </c>
      <c r="R59" s="101">
        <f t="shared" si="17"/>
        <v>88097592</v>
      </c>
    </row>
    <row r="60" spans="1:54" x14ac:dyDescent="0.3">
      <c r="C60" s="87" t="s">
        <v>974</v>
      </c>
      <c r="D60" s="170">
        <f>D53+D59</f>
        <v>373530042</v>
      </c>
      <c r="E60" s="170">
        <f t="shared" ref="E60:G60" si="18">E53+E59</f>
        <v>341217972</v>
      </c>
      <c r="F60" s="170">
        <f t="shared" si="18"/>
        <v>184141112</v>
      </c>
      <c r="G60" s="170">
        <f t="shared" si="18"/>
        <v>151829042</v>
      </c>
      <c r="J60" s="221" t="s">
        <v>926</v>
      </c>
      <c r="M60" s="243" t="s">
        <v>717</v>
      </c>
      <c r="N60" s="244">
        <v>0.67</v>
      </c>
      <c r="O60" s="101">
        <f>O53+O59</f>
        <v>373530042</v>
      </c>
      <c r="P60" s="101">
        <f t="shared" ref="P60:R60" si="19">P53+P59</f>
        <v>341217972</v>
      </c>
      <c r="Q60" s="101">
        <f t="shared" si="19"/>
        <v>184141112</v>
      </c>
      <c r="R60" s="101">
        <f t="shared" si="19"/>
        <v>151829042</v>
      </c>
      <c r="AS60" s="221" t="s">
        <v>917</v>
      </c>
    </row>
    <row r="61" spans="1:54" x14ac:dyDescent="0.3">
      <c r="C61" s="86" t="s">
        <v>1008</v>
      </c>
      <c r="D61" s="233"/>
      <c r="E61" s="233"/>
      <c r="F61" s="233"/>
      <c r="G61" s="233"/>
      <c r="I61" s="221" t="s">
        <v>927</v>
      </c>
      <c r="M61" s="243" t="s">
        <v>43</v>
      </c>
      <c r="N61" s="244">
        <v>0.8</v>
      </c>
      <c r="O61" s="73" t="s">
        <v>1055</v>
      </c>
    </row>
    <row r="62" spans="1:54" x14ac:dyDescent="0.3">
      <c r="A62" s="86"/>
      <c r="C62" s="221" t="s">
        <v>973</v>
      </c>
      <c r="D62" s="101">
        <f>O111</f>
        <v>63989731.0634</v>
      </c>
      <c r="E62" s="101">
        <f t="shared" ref="E62:G65" si="20">P111</f>
        <v>56312383.231399998</v>
      </c>
      <c r="F62" s="101">
        <f t="shared" si="20"/>
        <v>31997434.992399998</v>
      </c>
      <c r="G62" s="101">
        <f t="shared" si="20"/>
        <v>24320087.160399999</v>
      </c>
      <c r="I62" s="221" t="s">
        <v>928</v>
      </c>
      <c r="J62" s="221">
        <v>0.05</v>
      </c>
      <c r="K62" s="221">
        <f>1/24*1/30*0.05</f>
        <v>6.9444444444444444E-5</v>
      </c>
      <c r="M62" s="243" t="s">
        <v>44</v>
      </c>
      <c r="N62" s="244">
        <v>0.90500000000000003</v>
      </c>
      <c r="O62" s="73"/>
    </row>
    <row r="63" spans="1:54" x14ac:dyDescent="0.3">
      <c r="C63" s="221" t="s">
        <v>796</v>
      </c>
      <c r="D63" s="101">
        <f>O112</f>
        <v>36775184.579600006</v>
      </c>
      <c r="E63" s="101">
        <f t="shared" si="20"/>
        <v>32256664.710800007</v>
      </c>
      <c r="F63" s="101">
        <f t="shared" si="20"/>
        <v>18533309.439600006</v>
      </c>
      <c r="G63" s="101">
        <f t="shared" si="20"/>
        <v>14014789.570800003</v>
      </c>
      <c r="I63" s="221" t="s">
        <v>929</v>
      </c>
      <c r="J63" s="221">
        <v>0.18</v>
      </c>
      <c r="K63" s="221">
        <f>3.5/24*1/30*0.18</f>
        <v>8.7500000000000002E-4</v>
      </c>
      <c r="M63" s="243" t="s">
        <v>716</v>
      </c>
      <c r="N63" s="244">
        <v>0.98499999999999999</v>
      </c>
      <c r="O63" s="73"/>
    </row>
    <row r="64" spans="1:54" x14ac:dyDescent="0.3">
      <c r="C64" s="221" t="s">
        <v>797</v>
      </c>
      <c r="D64" s="101">
        <f t="shared" ref="D64:D65" si="21">O113</f>
        <v>16576758.101955198</v>
      </c>
      <c r="E64" s="101">
        <f t="shared" si="20"/>
        <v>14467591.610153597</v>
      </c>
      <c r="F64" s="101">
        <f t="shared" si="20"/>
        <v>8413209.2199551985</v>
      </c>
      <c r="G64" s="101">
        <f t="shared" si="20"/>
        <v>6304042.7281535994</v>
      </c>
      <c r="I64" s="221" t="s">
        <v>930</v>
      </c>
      <c r="J64" s="221">
        <v>0.26</v>
      </c>
      <c r="K64" s="221">
        <f>15/24*1/30*0.26</f>
        <v>5.4166666666666669E-3</v>
      </c>
      <c r="N64" s="224" t="s">
        <v>955</v>
      </c>
      <c r="O64" s="73"/>
    </row>
    <row r="65" spans="1:21" x14ac:dyDescent="0.3">
      <c r="C65" s="221" t="s">
        <v>798</v>
      </c>
      <c r="D65" s="101">
        <f t="shared" si="21"/>
        <v>3756910.7898841305</v>
      </c>
      <c r="E65" s="101">
        <f t="shared" si="20"/>
        <v>3425794.6878847061</v>
      </c>
      <c r="F65" s="101">
        <f t="shared" si="20"/>
        <v>1858999.0100241294</v>
      </c>
      <c r="G65" s="101">
        <f t="shared" si="20"/>
        <v>1527882.908024705</v>
      </c>
      <c r="I65" s="221" t="s">
        <v>931</v>
      </c>
      <c r="J65" s="221">
        <v>0.41</v>
      </c>
      <c r="K65" s="221">
        <f>4*1/30*0.41</f>
        <v>5.4666666666666662E-2</v>
      </c>
      <c r="M65" s="224" t="s">
        <v>953</v>
      </c>
      <c r="N65" s="223" t="s">
        <v>954</v>
      </c>
      <c r="O65" s="73"/>
    </row>
    <row r="66" spans="1:21" x14ac:dyDescent="0.3">
      <c r="C66" s="86" t="s">
        <v>1009</v>
      </c>
      <c r="I66" s="221" t="s">
        <v>932</v>
      </c>
      <c r="J66" s="221">
        <v>0.1</v>
      </c>
      <c r="K66" s="221">
        <f>18.5*1/30*0.09</f>
        <v>5.5500000000000001E-2</v>
      </c>
      <c r="M66" s="224">
        <v>0.32</v>
      </c>
      <c r="N66" s="224">
        <v>0.68</v>
      </c>
      <c r="O66" s="223" t="s">
        <v>951</v>
      </c>
      <c r="P66" s="223">
        <v>0.875</v>
      </c>
      <c r="Q66" s="223">
        <f>1-P66</f>
        <v>0.125</v>
      </c>
      <c r="R66" s="223">
        <f>1/Q66</f>
        <v>8</v>
      </c>
      <c r="S66" s="252" t="s">
        <v>1065</v>
      </c>
      <c r="T66" s="252" t="s">
        <v>1066</v>
      </c>
      <c r="U66" s="252" t="s">
        <v>1067</v>
      </c>
    </row>
    <row r="67" spans="1:21" x14ac:dyDescent="0.3">
      <c r="C67" s="221" t="s">
        <v>975</v>
      </c>
      <c r="D67" s="101">
        <f>O70+(0.5*O74)+(O84)+(0.5*O88)+(0.5*O98)</f>
        <v>35349195.838699996</v>
      </c>
      <c r="E67" s="101">
        <f t="shared" ref="E67:G70" si="22">P70+(0.5*P74)+(P84)+(0.5*P88)+(0.5*P98)</f>
        <v>27671848.006700002</v>
      </c>
      <c r="F67" s="101">
        <f t="shared" si="22"/>
        <v>19353047.803199999</v>
      </c>
      <c r="G67" s="101">
        <f t="shared" si="22"/>
        <v>11675699.9712</v>
      </c>
      <c r="K67" s="221">
        <f>45*1/30*0.01</f>
        <v>1.4999999999999999E-2</v>
      </c>
      <c r="M67" s="224">
        <v>0.32</v>
      </c>
      <c r="N67" s="224">
        <v>0.68</v>
      </c>
      <c r="O67" s="223" t="s">
        <v>781</v>
      </c>
      <c r="P67" s="223">
        <v>0.94</v>
      </c>
      <c r="Q67" s="223">
        <f>1-P67</f>
        <v>6.0000000000000053E-2</v>
      </c>
      <c r="R67" s="223">
        <f>1/Q67</f>
        <v>16.666666666666654</v>
      </c>
      <c r="S67" s="221">
        <f>1-T67</f>
        <v>0.990116</v>
      </c>
      <c r="T67" s="221">
        <f>0.00133+0.000124+0.0077+0.00073</f>
        <v>9.8840000000000004E-3</v>
      </c>
      <c r="U67" s="221">
        <f>1/T67</f>
        <v>101.17361392148928</v>
      </c>
    </row>
    <row r="68" spans="1:21" x14ac:dyDescent="0.3">
      <c r="C68" s="221" t="s">
        <v>800</v>
      </c>
      <c r="D68" s="101">
        <f t="shared" ref="D68:D70" si="23">O71+(0.5*O75)+(O85)+(0.5*O89)+(0.5*O99)</f>
        <v>20445462.8816</v>
      </c>
      <c r="E68" s="101">
        <f t="shared" si="22"/>
        <v>15926943.012800002</v>
      </c>
      <c r="F68" s="101">
        <f t="shared" si="22"/>
        <v>11324525.311600002</v>
      </c>
      <c r="G68" s="101">
        <f t="shared" si="22"/>
        <v>6806005.4428000003</v>
      </c>
      <c r="M68" s="224">
        <v>0.32</v>
      </c>
      <c r="N68" s="224">
        <v>0.68</v>
      </c>
      <c r="O68" s="223" t="s">
        <v>44</v>
      </c>
      <c r="P68" s="223">
        <v>0.9778</v>
      </c>
      <c r="Q68" s="223">
        <f>1-P68</f>
        <v>2.2199999999999998E-2</v>
      </c>
      <c r="R68" s="223">
        <f>1/Q68</f>
        <v>45.04504504504505</v>
      </c>
      <c r="S68" s="221">
        <f>1-T68</f>
        <v>0.96</v>
      </c>
      <c r="T68" s="221">
        <v>0.04</v>
      </c>
      <c r="U68" s="221">
        <f>1/T68</f>
        <v>25</v>
      </c>
    </row>
    <row r="69" spans="1:21" x14ac:dyDescent="0.3">
      <c r="A69" s="2" t="s">
        <v>982</v>
      </c>
      <c r="C69" s="221" t="s">
        <v>801</v>
      </c>
      <c r="D69" s="101">
        <f t="shared" si="23"/>
        <v>9286725.2663551979</v>
      </c>
      <c r="E69" s="101">
        <f t="shared" si="22"/>
        <v>7177558.7745535988</v>
      </c>
      <c r="F69" s="101">
        <f t="shared" si="22"/>
        <v>5204950.8253552001</v>
      </c>
      <c r="G69" s="101">
        <f t="shared" si="22"/>
        <v>3095784.3335535997</v>
      </c>
      <c r="J69" s="221" t="s">
        <v>933</v>
      </c>
      <c r="K69" s="221">
        <f>SUM(K62:K67)</f>
        <v>0.13152777777777777</v>
      </c>
      <c r="M69" s="224">
        <v>0.32</v>
      </c>
      <c r="N69" s="224">
        <v>0.68</v>
      </c>
      <c r="O69" s="223" t="s">
        <v>94</v>
      </c>
      <c r="P69" s="223">
        <f>1-Q69</f>
        <v>0.990116</v>
      </c>
      <c r="Q69" s="223">
        <f>0.009884</f>
        <v>9.8840000000000004E-3</v>
      </c>
      <c r="R69" s="223">
        <f>1/Q69</f>
        <v>101.17361392148928</v>
      </c>
    </row>
    <row r="70" spans="1:21" x14ac:dyDescent="0.3">
      <c r="A70" s="101">
        <f>D65-D75</f>
        <v>2001418.1975341295</v>
      </c>
      <c r="C70" s="221" t="s">
        <v>802</v>
      </c>
      <c r="D70" s="101">
        <f t="shared" si="23"/>
        <v>2001418.1975341295</v>
      </c>
      <c r="E70" s="101">
        <f t="shared" si="22"/>
        <v>1670302.0955347051</v>
      </c>
      <c r="F70" s="101">
        <f t="shared" si="22"/>
        <v>1052462.307604129</v>
      </c>
      <c r="G70" s="101">
        <f t="shared" si="22"/>
        <v>721346.20560470445</v>
      </c>
      <c r="J70" s="221" t="s">
        <v>934</v>
      </c>
      <c r="N70" s="221" t="s">
        <v>952</v>
      </c>
      <c r="O70" s="101">
        <f>($O$14*$N$66*$P66+$O$14*(1-$P66))*(1-$N60)</f>
        <v>7680420</v>
      </c>
      <c r="P70" s="101">
        <f>($P$14*$N$67*P66+$P$14*(1-$P66))*(1-$N60)</f>
        <v>3072.1680000000006</v>
      </c>
      <c r="Q70" s="101">
        <f>($Q$14*$N$68*$P66+$Q$14*(1-$P66))*(1-$N60)</f>
        <v>7680420</v>
      </c>
      <c r="R70" s="101">
        <f>($R$14*$N$69*$P66+$R$14*(1-$P66))*(1-$N60)</f>
        <v>3072.1680000000006</v>
      </c>
    </row>
    <row r="71" spans="1:21" x14ac:dyDescent="0.3">
      <c r="A71" s="101">
        <f>A70-D70</f>
        <v>0</v>
      </c>
      <c r="C71" s="86" t="s">
        <v>1010</v>
      </c>
      <c r="N71" s="221" t="s">
        <v>782</v>
      </c>
      <c r="O71" s="101">
        <f t="shared" ref="O71:O73" si="24">($O$14*$N$66*$P67+$O$14*(1-$P67))*(1-$N61)</f>
        <v>4520328.0000000009</v>
      </c>
      <c r="P71" s="101">
        <f t="shared" ref="P71:P73" si="25">($P$14*$N$67*P67+$P$14*(1-$P67))*(1-$N61)</f>
        <v>1808.1312</v>
      </c>
      <c r="Q71" s="101">
        <f t="shared" ref="Q71:Q73" si="26">($Q$14*$N$68*$P67+$Q$14*(1-$P67))*(1-$N61)</f>
        <v>4520328.0000000009</v>
      </c>
      <c r="R71" s="101">
        <f t="shared" ref="R71:R73" si="27">($R$14*$N$69*$P67+$R$14*(1-$P67))*(1-$N61)</f>
        <v>1808.1312</v>
      </c>
    </row>
    <row r="72" spans="1:21" x14ac:dyDescent="0.3">
      <c r="C72" s="221" t="s">
        <v>976</v>
      </c>
      <c r="D72" s="101">
        <f>(0.5*O74)+O80+(0.5*O88)+0.5*O98</f>
        <v>28640535.2247</v>
      </c>
      <c r="E72" s="101">
        <f t="shared" ref="E72:G75" si="28">(0.5*P74)+P80+(0.5*P88)+0.5*P98</f>
        <v>28640535.2247</v>
      </c>
      <c r="F72" s="101">
        <f t="shared" si="28"/>
        <v>12644387.189199999</v>
      </c>
      <c r="G72" s="101">
        <f t="shared" si="28"/>
        <v>12644387.189199999</v>
      </c>
      <c r="N72" s="221" t="s">
        <v>783</v>
      </c>
      <c r="O72" s="101">
        <f t="shared" si="24"/>
        <v>2110010.4959999998</v>
      </c>
      <c r="P72" s="101">
        <f t="shared" si="25"/>
        <v>844.00419839999984</v>
      </c>
      <c r="Q72" s="101">
        <f t="shared" si="26"/>
        <v>2110010.4959999998</v>
      </c>
      <c r="R72" s="101">
        <f t="shared" si="27"/>
        <v>844.00419839999984</v>
      </c>
    </row>
    <row r="73" spans="1:21" x14ac:dyDescent="0.3">
      <c r="C73" s="221" t="s">
        <v>806</v>
      </c>
      <c r="D73" s="101">
        <f t="shared" ref="D73:D75" si="29">(0.5*O75)+O81+(0.5*O89)+0.5*O99</f>
        <v>16329721.698000003</v>
      </c>
      <c r="E73" s="101">
        <f t="shared" si="28"/>
        <v>16329721.698000003</v>
      </c>
      <c r="F73" s="101">
        <f t="shared" si="28"/>
        <v>7208784.1280000014</v>
      </c>
      <c r="G73" s="101">
        <f t="shared" si="28"/>
        <v>7208784.1280000014</v>
      </c>
      <c r="N73" s="8" t="s">
        <v>784</v>
      </c>
      <c r="O73" s="101">
        <f t="shared" si="24"/>
        <v>331248.60144000035</v>
      </c>
      <c r="P73" s="101">
        <f t="shared" si="25"/>
        <v>132.49944057600015</v>
      </c>
      <c r="Q73" s="101">
        <f t="shared" si="26"/>
        <v>331248.60144000035</v>
      </c>
      <c r="R73" s="101">
        <f t="shared" si="27"/>
        <v>132.49944057600015</v>
      </c>
    </row>
    <row r="74" spans="1:21" x14ac:dyDescent="0.3">
      <c r="C74" s="221" t="s">
        <v>807</v>
      </c>
      <c r="D74" s="101">
        <f t="shared" si="29"/>
        <v>7290032.8355999989</v>
      </c>
      <c r="E74" s="101">
        <f t="shared" si="28"/>
        <v>7290032.8355999989</v>
      </c>
      <c r="F74" s="101">
        <f t="shared" si="28"/>
        <v>3208258.3945999993</v>
      </c>
      <c r="G74" s="101">
        <f t="shared" si="28"/>
        <v>3208258.3945999993</v>
      </c>
      <c r="N74" s="221" t="s">
        <v>956</v>
      </c>
      <c r="O74" s="101">
        <f>(0.5*$O$20*$N$66)*(1-$N60)+0.5*$O$20*(1-$P66)</f>
        <v>21622269.9494</v>
      </c>
      <c r="P74" s="101">
        <f>(0.5*$P$20*$N$67)*(1-$N60)+0.5*$P$20*(1-$P66)</f>
        <v>21622269.9494</v>
      </c>
      <c r="Q74" s="101">
        <f>(0.5*$Q$20*$N$68)*(1-$N60)+0.5*$Q$20*(1-$P66)</f>
        <v>2162623.8783999998</v>
      </c>
      <c r="R74" s="101">
        <f>(0.5*$R$20*$N$69)*(1-$N60)+0.5*$R$20*(1-P66)</f>
        <v>2162623.8783999998</v>
      </c>
    </row>
    <row r="75" spans="1:21" x14ac:dyDescent="0.3">
      <c r="C75" s="221" t="s">
        <v>808</v>
      </c>
      <c r="D75" s="101">
        <f t="shared" si="29"/>
        <v>1755492.592350001</v>
      </c>
      <c r="E75" s="101">
        <f t="shared" si="28"/>
        <v>1755492.592350001</v>
      </c>
      <c r="F75" s="101">
        <f t="shared" si="28"/>
        <v>806536.70242000045</v>
      </c>
      <c r="G75" s="101">
        <f t="shared" si="28"/>
        <v>806536.70242000045</v>
      </c>
      <c r="N75" s="221" t="s">
        <v>957</v>
      </c>
      <c r="O75" s="101">
        <f t="shared" ref="O75:O77" si="30">(0.5*$O$20*$N$66)*(1-$N61)+0.5*$O$20*(1-$P67)</f>
        <v>12129264.196000002</v>
      </c>
      <c r="P75" s="101">
        <f t="shared" ref="P75:P77" si="31">(0.5*$P$20*$N$67)*(1-$N61)+0.5*$P$20*(1-$P67)</f>
        <v>12129264.196000002</v>
      </c>
      <c r="Q75" s="101">
        <f t="shared" ref="Q75:Q77" si="32">(0.5*$Q$20*$N$68)*(1-$N61)+0.5*$Q$20*(1-$P67)</f>
        <v>1213149.0560000003</v>
      </c>
      <c r="R75" s="101">
        <f t="shared" ref="R75:R77" si="33">(0.5*$R$20*$N$69)*(1-$N61)+0.5*$R$20*(1-P67)</f>
        <v>1213149.0560000003</v>
      </c>
    </row>
    <row r="76" spans="1:21" x14ac:dyDescent="0.3">
      <c r="N76" s="221" t="s">
        <v>958</v>
      </c>
      <c r="O76" s="101">
        <f t="shared" si="30"/>
        <v>5371531.286799999</v>
      </c>
      <c r="P76" s="101">
        <f t="shared" si="31"/>
        <v>5371531.286799999</v>
      </c>
      <c r="Q76" s="101">
        <f t="shared" si="32"/>
        <v>537251.72479999997</v>
      </c>
      <c r="R76" s="101">
        <f t="shared" si="33"/>
        <v>537251.72479999997</v>
      </c>
    </row>
    <row r="77" spans="1:21" x14ac:dyDescent="0.3">
      <c r="C77" s="86"/>
      <c r="N77" s="221" t="s">
        <v>959</v>
      </c>
      <c r="O77" s="101">
        <f t="shared" si="30"/>
        <v>1242878.2760840007</v>
      </c>
      <c r="P77" s="101">
        <f t="shared" si="31"/>
        <v>1242878.2760840007</v>
      </c>
      <c r="Q77" s="101">
        <f t="shared" si="32"/>
        <v>124310.64102400008</v>
      </c>
      <c r="R77" s="101">
        <f t="shared" si="33"/>
        <v>124310.64102400008</v>
      </c>
    </row>
    <row r="78" spans="1:21" x14ac:dyDescent="0.3">
      <c r="D78" s="101"/>
      <c r="E78" s="101"/>
      <c r="F78" s="101"/>
      <c r="G78" s="101"/>
      <c r="I78" s="86" t="s">
        <v>853</v>
      </c>
      <c r="O78" s="101"/>
      <c r="P78" s="101"/>
      <c r="Q78" s="101"/>
      <c r="R78" s="101"/>
    </row>
    <row r="79" spans="1:21" x14ac:dyDescent="0.3">
      <c r="C79" s="221" t="s">
        <v>982</v>
      </c>
      <c r="D79" s="101">
        <f>D75+D70</f>
        <v>3756910.7898841305</v>
      </c>
      <c r="E79" s="101">
        <f t="shared" ref="E79:G79" si="34">E75+E70</f>
        <v>3425794.6878847061</v>
      </c>
      <c r="F79" s="101">
        <f t="shared" si="34"/>
        <v>1858999.0100241294</v>
      </c>
      <c r="G79" s="101">
        <f t="shared" si="34"/>
        <v>1527882.908024705</v>
      </c>
      <c r="I79" s="175">
        <f>I48</f>
        <v>92916815.200000018</v>
      </c>
      <c r="J79" s="175">
        <f t="shared" ref="J79:L79" si="35">J48</f>
        <v>60604745.200000003</v>
      </c>
      <c r="K79" s="175">
        <f t="shared" si="35"/>
        <v>82776815.200000018</v>
      </c>
      <c r="L79" s="175">
        <f t="shared" si="35"/>
        <v>50464745.200000003</v>
      </c>
      <c r="M79" s="227"/>
      <c r="N79" s="8" t="s">
        <v>964</v>
      </c>
      <c r="O79" s="228" t="s">
        <v>960</v>
      </c>
      <c r="P79" s="228" t="s">
        <v>960</v>
      </c>
      <c r="Q79" s="228" t="s">
        <v>960</v>
      </c>
      <c r="R79" s="228" t="s">
        <v>960</v>
      </c>
    </row>
    <row r="80" spans="1:21" x14ac:dyDescent="0.3">
      <c r="D80" s="101"/>
      <c r="E80" s="101"/>
      <c r="F80" s="101"/>
      <c r="G80" s="101"/>
      <c r="I80" s="86" t="s">
        <v>854</v>
      </c>
      <c r="J80" s="86"/>
      <c r="M80" s="221" t="s">
        <v>980</v>
      </c>
      <c r="N80" s="221" t="s">
        <v>961</v>
      </c>
      <c r="O80" s="101">
        <f>SUM($O$23:$O$25)*(1-$P66)</f>
        <v>1500000</v>
      </c>
      <c r="P80" s="101">
        <f>SUM($P$23:$P$25)*(1-$P66)</f>
        <v>1500000</v>
      </c>
      <c r="Q80" s="101">
        <f>SUM($Q$23:$Q$25)*(1-$P66)</f>
        <v>1500000</v>
      </c>
      <c r="R80" s="101">
        <f>SUM($R$23:$R$25)*(1-$P66)</f>
        <v>1500000</v>
      </c>
    </row>
    <row r="81" spans="4:21" x14ac:dyDescent="0.3">
      <c r="D81" s="101">
        <f>D67+D72</f>
        <v>63989731.0634</v>
      </c>
      <c r="E81" s="101">
        <f t="shared" ref="E81:F81" si="36">E67+E72</f>
        <v>56312383.231399998</v>
      </c>
      <c r="F81" s="101">
        <f t="shared" si="36"/>
        <v>31997434.992399998</v>
      </c>
      <c r="G81" s="199" t="s">
        <v>846</v>
      </c>
      <c r="I81" s="8" t="s">
        <v>847</v>
      </c>
      <c r="J81" s="8" t="s">
        <v>848</v>
      </c>
      <c r="K81" s="8" t="s">
        <v>849</v>
      </c>
      <c r="L81" s="8" t="s">
        <v>850</v>
      </c>
      <c r="M81" s="207"/>
      <c r="N81" s="221" t="s">
        <v>977</v>
      </c>
      <c r="O81" s="101">
        <f t="shared" ref="O81:O83" si="37">SUM($O$23:$O$25)*(1-$P67)</f>
        <v>720000.00000000058</v>
      </c>
      <c r="P81" s="101">
        <f t="shared" ref="P81:P83" si="38">SUM($P$23:$P$25)*(1-$P67)</f>
        <v>720000.00000000058</v>
      </c>
      <c r="Q81" s="101">
        <f t="shared" ref="Q81:Q83" si="39">SUM($Q$23:$Q$25)*(1-$P67)</f>
        <v>720000.00000000058</v>
      </c>
      <c r="R81" s="101">
        <f t="shared" ref="R81:R83" si="40">SUM($R$23:$R$25)*(1-$P67)</f>
        <v>720000.00000000058</v>
      </c>
    </row>
    <row r="82" spans="4:21" x14ac:dyDescent="0.3">
      <c r="G82" s="200" t="s">
        <v>781</v>
      </c>
      <c r="I82" s="221">
        <v>1E-4</v>
      </c>
      <c r="J82" s="221">
        <v>5.9999999999999993E-6</v>
      </c>
      <c r="K82" s="221">
        <v>1.6000000000000003E-5</v>
      </c>
      <c r="L82" s="221">
        <v>2.7999999999999999E-6</v>
      </c>
      <c r="N82" s="221" t="s">
        <v>978</v>
      </c>
      <c r="O82" s="101">
        <f t="shared" si="37"/>
        <v>266399.99999999994</v>
      </c>
      <c r="P82" s="101">
        <f t="shared" si="38"/>
        <v>266399.99999999994</v>
      </c>
      <c r="Q82" s="101">
        <f t="shared" si="39"/>
        <v>266399.99999999994</v>
      </c>
      <c r="R82" s="101">
        <f t="shared" si="40"/>
        <v>266399.99999999994</v>
      </c>
    </row>
    <row r="83" spans="4:21" x14ac:dyDescent="0.3">
      <c r="G83" s="200" t="s">
        <v>44</v>
      </c>
      <c r="I83" s="221">
        <v>3.1250000000000001E-4</v>
      </c>
      <c r="J83" s="221">
        <v>1.8749999999999998E-5</v>
      </c>
      <c r="K83" s="221">
        <v>5.0000000000000002E-5</v>
      </c>
      <c r="L83" s="221">
        <v>8.7499999999999992E-6</v>
      </c>
      <c r="N83" s="8" t="s">
        <v>979</v>
      </c>
      <c r="O83" s="170">
        <f t="shared" si="37"/>
        <v>118608.00000000004</v>
      </c>
      <c r="P83" s="170">
        <f t="shared" si="38"/>
        <v>118608.00000000004</v>
      </c>
      <c r="Q83" s="170">
        <f t="shared" si="39"/>
        <v>118608.00000000004</v>
      </c>
      <c r="R83" s="170">
        <f t="shared" si="40"/>
        <v>118608.00000000004</v>
      </c>
    </row>
    <row r="84" spans="4:21" x14ac:dyDescent="0.3">
      <c r="G84" s="200" t="s">
        <v>94</v>
      </c>
      <c r="I84" s="221">
        <v>5.0000000000000001E-4</v>
      </c>
      <c r="J84" s="221">
        <v>2.9999999999999997E-5</v>
      </c>
      <c r="K84" s="221">
        <v>8.0000000000000007E-5</v>
      </c>
      <c r="L84" s="221">
        <v>1.4E-5</v>
      </c>
      <c r="M84" s="221" t="s">
        <v>981</v>
      </c>
      <c r="N84" s="221" t="s">
        <v>962</v>
      </c>
      <c r="O84" s="215">
        <f>(1-$N60)*(O$26*$N$66*$P66+O$26*(1-$P66))+O$26*0.005+19.3*47*0.1</f>
        <v>528240.61399999994</v>
      </c>
      <c r="P84" s="215">
        <f>(1-$N60)*(P$26*$N$67*$P66+P$26*(1-$P66))+P$26*0.005+19.3*47*0.1</f>
        <v>528240.61399999994</v>
      </c>
      <c r="Q84" s="215">
        <f>(1-$N60)*(Q$26*$N$68*$P66+Q$26*(1-$P66))+Q$26*0.005+19.3*47*0.1</f>
        <v>528240.61399999994</v>
      </c>
      <c r="R84" s="215">
        <f>(1-$N60)*(R$26*$N$69*$P66+R$26*(1-$P66))+R$26*0.005+19.3*47*0.1</f>
        <v>528240.61399999994</v>
      </c>
      <c r="S84" s="221" t="s">
        <v>923</v>
      </c>
      <c r="U84" s="221">
        <f>19.3*47*1</f>
        <v>907.1</v>
      </c>
    </row>
    <row r="85" spans="4:21" x14ac:dyDescent="0.3">
      <c r="G85" s="145" t="s">
        <v>886</v>
      </c>
      <c r="I85" s="221">
        <v>1.25E-3</v>
      </c>
      <c r="J85" s="221">
        <v>7.4999999999999993E-5</v>
      </c>
      <c r="K85" s="221">
        <v>2.0000000000000001E-4</v>
      </c>
      <c r="L85" s="221">
        <v>3.4999999999999997E-5</v>
      </c>
      <c r="N85" s="221" t="s">
        <v>785</v>
      </c>
      <c r="O85" s="215">
        <f t="shared" ref="O85:O87" si="41">(1-$N61)*(O$26*$N$66*$P67+O$26*(1-$P67))+O$26*0.005+19.3*47*0.1</f>
        <v>315413.18359999999</v>
      </c>
      <c r="P85" s="215">
        <f t="shared" ref="P85:P87" si="42">(1-$N61)*(P$26*$N$67*$P67+P$26*(1-$P67))+P$26*0.005+19.3*47*0.1</f>
        <v>315413.18359999999</v>
      </c>
      <c r="Q85" s="215">
        <f t="shared" ref="Q85:Q87" si="43">(1-$N61)*(Q$26*$N$68*$P67+Q$26*(1-$P67))+Q$26*0.005+19.3*47*0.1</f>
        <v>315413.18359999999</v>
      </c>
      <c r="R85" s="215">
        <f t="shared" ref="R85:R87" si="44">(1-$N61)*(R$26*$N$69*$P67+R$26*(1-$P67))+R$26*0.005+19.3*47*0.1</f>
        <v>315413.18359999999</v>
      </c>
      <c r="S85" s="221" t="s">
        <v>924</v>
      </c>
    </row>
    <row r="86" spans="4:21" x14ac:dyDescent="0.3">
      <c r="I86" s="86" t="s">
        <v>851</v>
      </c>
      <c r="N86" s="221" t="s">
        <v>963</v>
      </c>
      <c r="O86" s="215">
        <f t="shared" si="41"/>
        <v>153081.93475519997</v>
      </c>
      <c r="P86" s="215">
        <f t="shared" si="42"/>
        <v>153081.93475519997</v>
      </c>
      <c r="Q86" s="215">
        <f t="shared" si="43"/>
        <v>153081.93475519997</v>
      </c>
      <c r="R86" s="215">
        <f t="shared" si="44"/>
        <v>153081.93475519997</v>
      </c>
      <c r="S86" s="221" t="s">
        <v>925</v>
      </c>
    </row>
    <row r="87" spans="4:21" x14ac:dyDescent="0.3">
      <c r="I87" s="8" t="s">
        <v>852</v>
      </c>
      <c r="J87" s="8"/>
      <c r="K87" s="8"/>
      <c r="L87" s="8"/>
      <c r="M87" s="207"/>
      <c r="N87" s="8" t="s">
        <v>786</v>
      </c>
      <c r="O87" s="215">
        <f t="shared" si="41"/>
        <v>33285.003744128022</v>
      </c>
      <c r="P87" s="215">
        <f t="shared" si="42"/>
        <v>33285.003744128022</v>
      </c>
      <c r="Q87" s="215">
        <f t="shared" si="43"/>
        <v>33285.003744128022</v>
      </c>
      <c r="R87" s="215">
        <f t="shared" si="44"/>
        <v>33285.003744128022</v>
      </c>
    </row>
    <row r="88" spans="4:21" x14ac:dyDescent="0.3">
      <c r="I88" s="101">
        <f>$I82*I$53</f>
        <v>9291.6815200000001</v>
      </c>
      <c r="J88" s="101">
        <f t="shared" ref="J88:L88" si="45">$I82*J$53</f>
        <v>6060.4745200000007</v>
      </c>
      <c r="K88" s="101">
        <f t="shared" si="45"/>
        <v>8277.6815200000001</v>
      </c>
      <c r="L88" s="101">
        <f t="shared" si="45"/>
        <v>5046.4745200000007</v>
      </c>
      <c r="M88" s="101"/>
      <c r="N88" s="221" t="s">
        <v>787</v>
      </c>
      <c r="O88" s="101">
        <f>(0.5*O$27*$N$66*$P66)*(1-$N60)+ 0.5*O$27*(1-$P66)</f>
        <v>1606750</v>
      </c>
      <c r="P88" s="101">
        <f>(0.5*P$27*$N$67*$P66)*(1-$N60)+ 0.5*P$27*(1-$P66)</f>
        <v>1606750</v>
      </c>
      <c r="Q88" s="101">
        <f>(0.5*Q$27*$N$68*$P66)*(1-$N60)+ 0.5*Q$27*(1-$P66)</f>
        <v>1606750</v>
      </c>
      <c r="R88" s="101">
        <f>(0.5*R$27*$N$69*$P66)*(1-$N60)+ 0.5*R$27*(1-$P66)</f>
        <v>1606750</v>
      </c>
    </row>
    <row r="89" spans="4:21" x14ac:dyDescent="0.3">
      <c r="I89" s="101">
        <f t="shared" ref="I89:L91" si="46">$I83*I$53</f>
        <v>29036.50475</v>
      </c>
      <c r="J89" s="101">
        <f t="shared" si="46"/>
        <v>18938.982875000002</v>
      </c>
      <c r="K89" s="101">
        <f t="shared" si="46"/>
        <v>25867.75475</v>
      </c>
      <c r="L89" s="101">
        <f t="shared" si="46"/>
        <v>15770.232875000002</v>
      </c>
      <c r="M89" s="101"/>
      <c r="N89" s="221" t="s">
        <v>788</v>
      </c>
      <c r="O89" s="101">
        <f t="shared" ref="O89:O91" si="47">(0.5*O$27*$N$66*$P67)*(1-$N61)+ 0.5*O$27*(1-$P67)</f>
        <v>939200.00000000023</v>
      </c>
      <c r="P89" s="101">
        <f t="shared" ref="P89:P91" si="48">(0.5*P$27*$N$67*$P67)*(1-$N61)+ 0.5*P$27*(1-$P67)</f>
        <v>939200.00000000023</v>
      </c>
      <c r="Q89" s="101">
        <f t="shared" ref="Q89:Q91" si="49">(0.5*Q$27*$N$68*$P67)*(1-$N61)+ 0.5*Q$27*(1-$P67)</f>
        <v>939200.00000000023</v>
      </c>
      <c r="R89" s="101">
        <f t="shared" ref="R89:R91" si="50">(0.5*R$27*$N$69*$P67)*(1-$N61)+ 0.5*R$27*(1-$P67)</f>
        <v>939200.00000000023</v>
      </c>
    </row>
    <row r="90" spans="4:21" x14ac:dyDescent="0.3">
      <c r="I90" s="195">
        <f t="shared" si="46"/>
        <v>46458.407600000006</v>
      </c>
      <c r="J90" s="195">
        <f t="shared" si="46"/>
        <v>30302.372600000002</v>
      </c>
      <c r="K90" s="195">
        <f t="shared" si="46"/>
        <v>41388.407600000006</v>
      </c>
      <c r="L90" s="195">
        <f t="shared" si="46"/>
        <v>25232.372600000002</v>
      </c>
      <c r="M90" s="195"/>
      <c r="N90" s="221" t="s">
        <v>789</v>
      </c>
      <c r="O90" s="101">
        <f t="shared" si="47"/>
        <v>426829.39999999997</v>
      </c>
      <c r="P90" s="101">
        <f t="shared" si="48"/>
        <v>426829.39999999997</v>
      </c>
      <c r="Q90" s="101">
        <f t="shared" si="49"/>
        <v>426829.39999999997</v>
      </c>
      <c r="R90" s="101">
        <f t="shared" si="50"/>
        <v>426829.39999999997</v>
      </c>
    </row>
    <row r="91" spans="4:21" x14ac:dyDescent="0.3">
      <c r="I91" s="232">
        <f t="shared" si="46"/>
        <v>116146.019</v>
      </c>
      <c r="J91" s="232">
        <f t="shared" si="46"/>
        <v>75755.931500000006</v>
      </c>
      <c r="K91" s="232">
        <f t="shared" si="46"/>
        <v>103471.019</v>
      </c>
      <c r="L91" s="232">
        <f t="shared" si="46"/>
        <v>63080.931500000006</v>
      </c>
      <c r="N91" s="8" t="s">
        <v>789</v>
      </c>
      <c r="O91" s="101">
        <f t="shared" si="47"/>
        <v>99915.91600000007</v>
      </c>
      <c r="P91" s="101">
        <f t="shared" si="48"/>
        <v>99915.91600000007</v>
      </c>
      <c r="Q91" s="101">
        <f t="shared" si="49"/>
        <v>99915.91600000007</v>
      </c>
      <c r="R91" s="101">
        <f t="shared" si="50"/>
        <v>99915.91600000007</v>
      </c>
    </row>
    <row r="92" spans="4:21" x14ac:dyDescent="0.3">
      <c r="O92" s="101"/>
      <c r="P92" s="101"/>
      <c r="Q92" s="101"/>
      <c r="R92" s="101"/>
    </row>
    <row r="93" spans="4:21" x14ac:dyDescent="0.3">
      <c r="I93" s="8" t="s">
        <v>941</v>
      </c>
      <c r="J93" s="8"/>
      <c r="K93" s="8"/>
      <c r="L93" s="8"/>
      <c r="M93" s="207"/>
      <c r="O93" s="101"/>
      <c r="P93" s="101"/>
      <c r="Q93" s="101"/>
      <c r="R93" s="101"/>
    </row>
    <row r="94" spans="4:21" x14ac:dyDescent="0.3">
      <c r="I94" s="101">
        <f t="shared" ref="I94:L97" si="51">$K82*I$53</f>
        <v>1486.6690432000003</v>
      </c>
      <c r="J94" s="101">
        <f t="shared" si="51"/>
        <v>969.67592320000017</v>
      </c>
      <c r="K94" s="101">
        <f t="shared" si="51"/>
        <v>1324.4290432000003</v>
      </c>
      <c r="L94" s="101">
        <f t="shared" si="51"/>
        <v>807.43592320000016</v>
      </c>
      <c r="M94" s="101"/>
      <c r="O94" s="101"/>
      <c r="P94" s="101"/>
      <c r="Q94" s="101"/>
      <c r="R94" s="101"/>
    </row>
    <row r="95" spans="4:21" x14ac:dyDescent="0.3">
      <c r="I95" s="101">
        <f t="shared" si="51"/>
        <v>4645.84076</v>
      </c>
      <c r="J95" s="101">
        <f t="shared" si="51"/>
        <v>3030.2372600000003</v>
      </c>
      <c r="K95" s="101">
        <f t="shared" si="51"/>
        <v>4138.84076</v>
      </c>
      <c r="L95" s="101">
        <f t="shared" si="51"/>
        <v>2523.2372600000003</v>
      </c>
      <c r="M95" s="101"/>
      <c r="O95" s="101"/>
      <c r="P95" s="101"/>
      <c r="Q95" s="101"/>
      <c r="R95" s="101"/>
    </row>
    <row r="96" spans="4:21" x14ac:dyDescent="0.3">
      <c r="I96" s="101">
        <f t="shared" si="51"/>
        <v>7433.3452160000006</v>
      </c>
      <c r="J96" s="101">
        <f t="shared" si="51"/>
        <v>4848.3796160000011</v>
      </c>
      <c r="K96" s="101">
        <f t="shared" si="51"/>
        <v>6622.1452160000008</v>
      </c>
      <c r="L96" s="101">
        <f t="shared" si="51"/>
        <v>4037.1796160000004</v>
      </c>
      <c r="M96" s="101"/>
      <c r="O96" s="101"/>
      <c r="P96" s="101"/>
      <c r="Q96" s="101"/>
      <c r="R96" s="101"/>
    </row>
    <row r="97" spans="7:22" x14ac:dyDescent="0.3">
      <c r="I97" s="101">
        <f t="shared" si="51"/>
        <v>18583.36304</v>
      </c>
      <c r="J97" s="101">
        <f t="shared" si="51"/>
        <v>12120.949040000001</v>
      </c>
      <c r="K97" s="101">
        <f t="shared" si="51"/>
        <v>16555.36304</v>
      </c>
      <c r="L97" s="101">
        <f t="shared" si="51"/>
        <v>10092.949040000001</v>
      </c>
      <c r="N97" s="221" t="s">
        <v>967</v>
      </c>
      <c r="O97" s="101"/>
      <c r="P97" s="101"/>
      <c r="Q97" s="101"/>
      <c r="R97" s="101"/>
    </row>
    <row r="98" spans="7:22" x14ac:dyDescent="0.3">
      <c r="G98" s="221" t="s">
        <v>942</v>
      </c>
      <c r="I98" s="184">
        <f>AVERAGE(I89, I90, I95, I96)</f>
        <v>21893.524581500002</v>
      </c>
      <c r="J98" s="184">
        <f t="shared" ref="J98:L98" si="52">AVERAGE(J89, J90, J95, J96)</f>
        <v>14279.993087750001</v>
      </c>
      <c r="K98" s="184">
        <f t="shared" si="52"/>
        <v>19504.287081500002</v>
      </c>
      <c r="L98" s="184">
        <f t="shared" si="52"/>
        <v>11890.755587750002</v>
      </c>
      <c r="M98" s="184"/>
      <c r="N98" s="230" t="s">
        <v>803</v>
      </c>
      <c r="O98" s="231">
        <f>0.5*SUM(O$30:O$45)*$N$66*$P66*(1-$N60)+0.5*SUM(O$30:O$45)*(1-$P66)</f>
        <v>31052050.5</v>
      </c>
      <c r="P98" s="231">
        <f>0.5*SUM(P$30:P$45)*$N$67*$P66*(1-$N60)+0.5*SUM(P$30:P$45)*(1-$P66)</f>
        <v>31052050.5</v>
      </c>
      <c r="Q98" s="231">
        <f>0.5*SUM(Q$30:Q$45)*$N$68*$P66*(1-$N60)+0.5*SUM(Q$30:Q$45)*(1-$P66)</f>
        <v>18519400.5</v>
      </c>
      <c r="R98" s="231">
        <f>0.5*SUM(R$30:R$45)*$N$69*$P66*(1-$N60)+0.5*SUM(R$30:R$45)*(1-$P66)</f>
        <v>18519400.5</v>
      </c>
    </row>
    <row r="99" spans="7:22" x14ac:dyDescent="0.3">
      <c r="N99" s="230" t="s">
        <v>803</v>
      </c>
      <c r="O99" s="231">
        <f t="shared" ref="O99:O101" si="53">0.5*SUM(O$30:O$45)*$N$66*$P67*(1-$N61)+0.5*SUM(O$30:O$45)*(1-$P67)</f>
        <v>18150979.200000003</v>
      </c>
      <c r="P99" s="231">
        <f t="shared" ref="P99:P101" si="54">0.5*SUM(P$30:P$45)*$N$67*$P67*(1-$N61)+0.5*SUM(P$30:P$45)*(1-$P67)</f>
        <v>18150979.200000003</v>
      </c>
      <c r="Q99" s="231">
        <f t="shared" ref="Q99:Q101" si="55">0.5*SUM(Q$30:Q$45)*$N$68*$P67*(1-$N61)+0.5*SUM(Q$30:Q$45)*(1-$P67)</f>
        <v>10825219.200000001</v>
      </c>
      <c r="R99" s="231">
        <f t="shared" ref="R99:R101" si="56">0.5*SUM(R$30:R$45)*$N$69*$P67*(1-$N61)+0.5*SUM(R$30:R$45)*(1-$P67)</f>
        <v>10825219.200000001</v>
      </c>
    </row>
    <row r="100" spans="7:22" x14ac:dyDescent="0.3">
      <c r="I100" s="86" t="s">
        <v>860</v>
      </c>
      <c r="N100" s="230" t="s">
        <v>804</v>
      </c>
      <c r="O100" s="231">
        <f t="shared" si="53"/>
        <v>8248904.9843999986</v>
      </c>
      <c r="P100" s="231">
        <f t="shared" si="54"/>
        <v>8248904.9843999986</v>
      </c>
      <c r="Q100" s="231">
        <f t="shared" si="55"/>
        <v>4919635.6643999992</v>
      </c>
      <c r="R100" s="231">
        <f t="shared" si="56"/>
        <v>4919635.6643999992</v>
      </c>
    </row>
    <row r="101" spans="7:22" x14ac:dyDescent="0.3">
      <c r="G101" s="199" t="s">
        <v>846</v>
      </c>
      <c r="I101" s="202" t="s">
        <v>847</v>
      </c>
      <c r="J101" s="203" t="s">
        <v>848</v>
      </c>
      <c r="K101" s="203" t="s">
        <v>849</v>
      </c>
      <c r="L101" s="203" t="s">
        <v>850</v>
      </c>
      <c r="M101" s="226"/>
      <c r="N101" s="230" t="s">
        <v>805</v>
      </c>
      <c r="O101" s="231">
        <f t="shared" si="53"/>
        <v>1930974.9926160015</v>
      </c>
      <c r="P101" s="231">
        <f t="shared" si="54"/>
        <v>1930974.9926160015</v>
      </c>
      <c r="Q101" s="231">
        <f t="shared" si="55"/>
        <v>1151630.8478160007</v>
      </c>
      <c r="R101" s="231">
        <f t="shared" si="56"/>
        <v>1151630.8478160007</v>
      </c>
    </row>
    <row r="102" spans="7:22" x14ac:dyDescent="0.3">
      <c r="G102" s="200" t="s">
        <v>781</v>
      </c>
      <c r="I102" s="201">
        <v>1.8333333333333334E-4</v>
      </c>
      <c r="J102" s="221">
        <v>1.1E-5</v>
      </c>
      <c r="K102" s="201">
        <v>2.9333333333333336E-5</v>
      </c>
      <c r="L102" s="201">
        <v>5.133333333333333E-6</v>
      </c>
      <c r="M102" s="201"/>
      <c r="O102" s="101"/>
      <c r="P102" s="101"/>
      <c r="Q102" s="101"/>
      <c r="R102" s="101"/>
    </row>
    <row r="103" spans="7:22" x14ac:dyDescent="0.3">
      <c r="G103" s="200" t="s">
        <v>44</v>
      </c>
      <c r="I103" s="201">
        <v>5.6250000000000007E-4</v>
      </c>
      <c r="J103" s="221">
        <v>3.375E-5</v>
      </c>
      <c r="K103" s="221">
        <v>9.0000000000000006E-5</v>
      </c>
      <c r="L103" s="221">
        <v>1.575E-5</v>
      </c>
      <c r="O103" s="101"/>
      <c r="P103" s="101"/>
      <c r="Q103" s="101"/>
      <c r="R103" s="101"/>
      <c r="V103" s="221">
        <f>0.125*1000*1.015/8760</f>
        <v>1.4483447488584473E-2</v>
      </c>
    </row>
    <row r="104" spans="7:22" x14ac:dyDescent="0.3">
      <c r="G104" s="200" t="s">
        <v>94</v>
      </c>
      <c r="I104" s="201">
        <v>1E-3</v>
      </c>
      <c r="J104" s="221">
        <v>5.9999999999999995E-5</v>
      </c>
      <c r="K104" s="221">
        <v>1.6000000000000001E-4</v>
      </c>
      <c r="L104" s="221">
        <v>2.8E-5</v>
      </c>
      <c r="O104" s="101"/>
      <c r="P104" s="101"/>
      <c r="Q104" s="101"/>
      <c r="R104" s="101"/>
      <c r="V104" s="221">
        <f>0.918*1000*1.015/8760</f>
        <v>0.10636643835616437</v>
      </c>
    </row>
    <row r="105" spans="7:22" x14ac:dyDescent="0.3">
      <c r="G105" s="145" t="s">
        <v>886</v>
      </c>
      <c r="I105" s="221">
        <v>1.25E-3</v>
      </c>
      <c r="J105" s="221">
        <v>7.4999999999999993E-5</v>
      </c>
      <c r="K105" s="221">
        <v>2.0000000000000001E-4</v>
      </c>
      <c r="L105" s="221">
        <v>3.4999999999999997E-5</v>
      </c>
      <c r="O105" s="101"/>
      <c r="P105" s="101"/>
      <c r="Q105" s="101"/>
      <c r="R105" s="101"/>
    </row>
    <row r="106" spans="7:22" x14ac:dyDescent="0.3">
      <c r="I106" s="86" t="s">
        <v>859</v>
      </c>
      <c r="O106" s="101"/>
      <c r="P106" s="101"/>
      <c r="Q106" s="101"/>
      <c r="R106" s="101"/>
    </row>
    <row r="107" spans="7:22" x14ac:dyDescent="0.3">
      <c r="I107" s="8" t="s">
        <v>852</v>
      </c>
      <c r="J107" s="8"/>
      <c r="K107" s="8"/>
      <c r="L107" s="8"/>
      <c r="M107" s="207"/>
      <c r="O107" s="101"/>
      <c r="P107" s="101"/>
      <c r="Q107" s="101"/>
      <c r="R107" s="101"/>
    </row>
    <row r="108" spans="7:22" x14ac:dyDescent="0.3">
      <c r="I108" s="101">
        <f>$I102*I$53</f>
        <v>17034.749453333334</v>
      </c>
      <c r="J108" s="101">
        <f t="shared" ref="J108:L108" si="57">$I102*J$53</f>
        <v>11110.869953333335</v>
      </c>
      <c r="K108" s="101">
        <f t="shared" si="57"/>
        <v>15175.749453333334</v>
      </c>
      <c r="L108" s="101">
        <f t="shared" si="57"/>
        <v>9251.8699533333347</v>
      </c>
      <c r="M108" s="101"/>
      <c r="O108" s="101"/>
      <c r="P108" s="101"/>
      <c r="Q108" s="101"/>
      <c r="R108" s="101"/>
    </row>
    <row r="109" spans="7:22" x14ac:dyDescent="0.3">
      <c r="I109" s="101">
        <f t="shared" ref="I109:L111" si="58">$I103*I$53</f>
        <v>52265.70855000001</v>
      </c>
      <c r="J109" s="101">
        <f t="shared" si="58"/>
        <v>34090.169175000003</v>
      </c>
      <c r="K109" s="101">
        <f t="shared" si="58"/>
        <v>46561.95855000001</v>
      </c>
      <c r="L109" s="101">
        <f t="shared" si="58"/>
        <v>28386.419175000006</v>
      </c>
      <c r="M109" s="101"/>
      <c r="O109" s="101"/>
      <c r="P109" s="101"/>
      <c r="Q109" s="101"/>
      <c r="R109" s="101"/>
    </row>
    <row r="110" spans="7:22" x14ac:dyDescent="0.3">
      <c r="I110" s="195">
        <f t="shared" si="58"/>
        <v>92916.815200000012</v>
      </c>
      <c r="J110" s="195">
        <f t="shared" si="58"/>
        <v>60604.745200000005</v>
      </c>
      <c r="K110" s="195">
        <f t="shared" si="58"/>
        <v>82776.815200000012</v>
      </c>
      <c r="L110" s="195">
        <f t="shared" si="58"/>
        <v>50464.745200000005</v>
      </c>
      <c r="M110" s="195"/>
      <c r="N110" s="221" t="s">
        <v>1042</v>
      </c>
      <c r="O110" s="101"/>
      <c r="P110" s="101"/>
      <c r="Q110" s="101"/>
      <c r="R110" s="101"/>
    </row>
    <row r="111" spans="7:22" x14ac:dyDescent="0.3">
      <c r="I111" s="232">
        <f t="shared" si="58"/>
        <v>116146.019</v>
      </c>
      <c r="J111" s="232">
        <f t="shared" si="58"/>
        <v>75755.931500000006</v>
      </c>
      <c r="K111" s="232">
        <f t="shared" si="58"/>
        <v>103471.019</v>
      </c>
      <c r="L111" s="232">
        <f t="shared" si="58"/>
        <v>63080.931500000006</v>
      </c>
      <c r="N111" s="221" t="s">
        <v>966</v>
      </c>
      <c r="O111" s="175">
        <f>O70+O74+O80+O84+O88+O98</f>
        <v>63989731.0634</v>
      </c>
      <c r="P111" s="175">
        <f t="shared" ref="P111:R111" si="59">P70+P74+P80+P84+P88+P98</f>
        <v>56312383.231399998</v>
      </c>
      <c r="Q111" s="175">
        <f t="shared" si="59"/>
        <v>31997434.992399998</v>
      </c>
      <c r="R111" s="175">
        <f t="shared" si="59"/>
        <v>24320087.160399999</v>
      </c>
    </row>
    <row r="112" spans="7:22" x14ac:dyDescent="0.3">
      <c r="I112" s="8" t="s">
        <v>941</v>
      </c>
      <c r="J112" s="8"/>
      <c r="K112" s="8"/>
      <c r="L112" s="8"/>
      <c r="N112" s="221" t="s">
        <v>793</v>
      </c>
      <c r="O112" s="175">
        <f t="shared" ref="O112:R114" si="60">O71+O75+O81+O85+O89+O99</f>
        <v>36775184.579600006</v>
      </c>
      <c r="P112" s="175">
        <f t="shared" si="60"/>
        <v>32256664.710800007</v>
      </c>
      <c r="Q112" s="175">
        <f t="shared" si="60"/>
        <v>18533309.439600006</v>
      </c>
      <c r="R112" s="175">
        <f t="shared" si="60"/>
        <v>14014789.570800003</v>
      </c>
    </row>
    <row r="113" spans="7:18" x14ac:dyDescent="0.3">
      <c r="I113" s="208">
        <f>$K102*I$53</f>
        <v>2725.5599125333338</v>
      </c>
      <c r="J113" s="208">
        <f t="shared" ref="J113:L113" si="61">$K102*J$53</f>
        <v>1777.7391925333336</v>
      </c>
      <c r="K113" s="208">
        <f t="shared" si="61"/>
        <v>2428.1199125333337</v>
      </c>
      <c r="L113" s="208">
        <f t="shared" si="61"/>
        <v>1480.2991925333336</v>
      </c>
      <c r="M113" s="207"/>
      <c r="N113" s="221" t="s">
        <v>794</v>
      </c>
      <c r="O113" s="175">
        <f t="shared" si="60"/>
        <v>16576758.101955198</v>
      </c>
      <c r="P113" s="175">
        <f t="shared" si="60"/>
        <v>14467591.610153597</v>
      </c>
      <c r="Q113" s="175">
        <f t="shared" si="60"/>
        <v>8413209.2199551985</v>
      </c>
      <c r="R113" s="175">
        <f t="shared" si="60"/>
        <v>6304042.7281535994</v>
      </c>
    </row>
    <row r="114" spans="7:18" x14ac:dyDescent="0.3">
      <c r="I114" s="208">
        <f t="shared" ref="I114:L116" si="62">$K103*I$53</f>
        <v>8362.5133679999999</v>
      </c>
      <c r="J114" s="208">
        <f t="shared" si="62"/>
        <v>5454.4270680000009</v>
      </c>
      <c r="K114" s="208">
        <f t="shared" si="62"/>
        <v>7449.9133680000004</v>
      </c>
      <c r="L114" s="208">
        <f t="shared" si="62"/>
        <v>4541.8270680000005</v>
      </c>
      <c r="M114" s="101"/>
      <c r="N114" s="221" t="s">
        <v>795</v>
      </c>
      <c r="O114" s="175">
        <f t="shared" si="60"/>
        <v>3756910.7898841305</v>
      </c>
      <c r="P114" s="175">
        <f t="shared" si="60"/>
        <v>3425794.6878847061</v>
      </c>
      <c r="Q114" s="175">
        <f t="shared" si="60"/>
        <v>1858999.0100241294</v>
      </c>
      <c r="R114" s="175">
        <f t="shared" si="60"/>
        <v>1527882.908024705</v>
      </c>
    </row>
    <row r="115" spans="7:18" x14ac:dyDescent="0.3">
      <c r="I115" s="208">
        <f t="shared" si="62"/>
        <v>14866.690432000001</v>
      </c>
      <c r="J115" s="208">
        <f t="shared" si="62"/>
        <v>9696.7592320000022</v>
      </c>
      <c r="K115" s="208">
        <f t="shared" si="62"/>
        <v>13244.290432000002</v>
      </c>
      <c r="L115" s="208">
        <f t="shared" si="62"/>
        <v>8074.3592320000007</v>
      </c>
      <c r="M115" s="101"/>
      <c r="O115" s="101"/>
      <c r="P115" s="101"/>
      <c r="Q115" s="101"/>
      <c r="R115" s="101"/>
    </row>
    <row r="116" spans="7:18" x14ac:dyDescent="0.3">
      <c r="I116" s="208">
        <f t="shared" si="62"/>
        <v>18583.36304</v>
      </c>
      <c r="J116" s="208">
        <f t="shared" si="62"/>
        <v>12120.949040000001</v>
      </c>
      <c r="K116" s="208">
        <f t="shared" si="62"/>
        <v>16555.36304</v>
      </c>
      <c r="L116" s="208">
        <f t="shared" si="62"/>
        <v>10092.949040000001</v>
      </c>
      <c r="M116" s="101"/>
      <c r="N116" s="221" t="s">
        <v>841</v>
      </c>
      <c r="O116" s="101"/>
      <c r="P116" s="101"/>
      <c r="Q116" s="101"/>
      <c r="R116" s="101"/>
    </row>
    <row r="117" spans="7:18" x14ac:dyDescent="0.3">
      <c r="G117" s="221" t="s">
        <v>942</v>
      </c>
      <c r="I117" s="184">
        <f>AVERAGE(I109, I110, I115, I116)</f>
        <v>44658.144305500005</v>
      </c>
      <c r="J117" s="184">
        <f t="shared" ref="J117:L117" si="63">AVERAGE(J109, J110, J115, J116)</f>
        <v>29128.155661750003</v>
      </c>
      <c r="K117" s="184">
        <f t="shared" si="63"/>
        <v>39784.606805500007</v>
      </c>
      <c r="L117" s="184">
        <f t="shared" si="63"/>
        <v>24254.618161750004</v>
      </c>
      <c r="M117" s="184"/>
      <c r="N117" s="221" t="s">
        <v>968</v>
      </c>
      <c r="O117" s="190">
        <f>O$14-O70</f>
        <v>24644580.000000004</v>
      </c>
      <c r="P117" s="190">
        <f t="shared" ref="P117:R118" si="64">P$14-P70</f>
        <v>9857.8319999999985</v>
      </c>
      <c r="Q117" s="190">
        <f t="shared" si="64"/>
        <v>24644580.000000004</v>
      </c>
      <c r="R117" s="190">
        <f t="shared" si="64"/>
        <v>9857.8319999999985</v>
      </c>
    </row>
    <row r="118" spans="7:18" x14ac:dyDescent="0.3">
      <c r="K118" s="101"/>
      <c r="L118" s="101"/>
      <c r="M118" s="101"/>
      <c r="N118" s="221" t="s">
        <v>782</v>
      </c>
      <c r="O118" s="190">
        <f>O$14-O71</f>
        <v>27804672.000000004</v>
      </c>
      <c r="P118" s="190">
        <f t="shared" si="64"/>
        <v>11121.8688</v>
      </c>
      <c r="Q118" s="190">
        <f t="shared" si="64"/>
        <v>27804672.000000004</v>
      </c>
      <c r="R118" s="190">
        <f t="shared" si="64"/>
        <v>11121.8688</v>
      </c>
    </row>
    <row r="119" spans="7:18" x14ac:dyDescent="0.3">
      <c r="K119" s="101">
        <f>O14</f>
        <v>32325000.000000004</v>
      </c>
      <c r="L119" s="101">
        <f>O71+O118</f>
        <v>32325000.000000004</v>
      </c>
      <c r="N119" s="221" t="s">
        <v>783</v>
      </c>
      <c r="O119" s="190">
        <f t="shared" ref="O119:R120" si="65">O$14-O72</f>
        <v>30214989.504000004</v>
      </c>
      <c r="P119" s="190">
        <f t="shared" si="65"/>
        <v>12085.9958016</v>
      </c>
      <c r="Q119" s="190">
        <f t="shared" si="65"/>
        <v>30214989.504000004</v>
      </c>
      <c r="R119" s="190">
        <f t="shared" si="65"/>
        <v>12085.9958016</v>
      </c>
    </row>
    <row r="120" spans="7:18" x14ac:dyDescent="0.3">
      <c r="N120" s="8" t="s">
        <v>784</v>
      </c>
      <c r="O120" s="228">
        <f t="shared" si="65"/>
        <v>31993751.398560002</v>
      </c>
      <c r="P120" s="228">
        <f t="shared" si="65"/>
        <v>12797.500559423999</v>
      </c>
      <c r="Q120" s="228">
        <f t="shared" si="65"/>
        <v>31993751.398560002</v>
      </c>
      <c r="R120" s="228">
        <f t="shared" si="65"/>
        <v>12797.500559423999</v>
      </c>
    </row>
    <row r="121" spans="7:18" x14ac:dyDescent="0.3">
      <c r="N121" s="221" t="s">
        <v>956</v>
      </c>
      <c r="O121" s="190">
        <f t="shared" ref="O121:R123" si="66">O$20-O74</f>
        <v>102145732.05059999</v>
      </c>
      <c r="P121" s="190">
        <f t="shared" si="66"/>
        <v>102145732.05059999</v>
      </c>
      <c r="Q121" s="190">
        <f t="shared" si="66"/>
        <v>10216448.1216</v>
      </c>
      <c r="R121" s="190">
        <f t="shared" si="66"/>
        <v>10216448.1216</v>
      </c>
    </row>
    <row r="122" spans="7:18" x14ac:dyDescent="0.3">
      <c r="K122" s="101">
        <f>0.5*O20</f>
        <v>61884001</v>
      </c>
      <c r="L122" s="101">
        <f>O122+O75</f>
        <v>123768002</v>
      </c>
      <c r="M122" s="101"/>
      <c r="N122" s="221" t="s">
        <v>957</v>
      </c>
      <c r="O122" s="190">
        <f t="shared" si="66"/>
        <v>111638737.80399999</v>
      </c>
      <c r="P122" s="190">
        <f t="shared" si="66"/>
        <v>111638737.80399999</v>
      </c>
      <c r="Q122" s="190">
        <f t="shared" si="66"/>
        <v>11165922.944</v>
      </c>
      <c r="R122" s="190">
        <f t="shared" si="66"/>
        <v>11165922.944</v>
      </c>
    </row>
    <row r="123" spans="7:18" x14ac:dyDescent="0.3">
      <c r="N123" s="221" t="s">
        <v>958</v>
      </c>
      <c r="O123" s="190">
        <f t="shared" si="66"/>
        <v>118396470.7132</v>
      </c>
      <c r="P123" s="190">
        <f t="shared" si="66"/>
        <v>118396470.7132</v>
      </c>
      <c r="Q123" s="190">
        <f t="shared" si="66"/>
        <v>11841820.2752</v>
      </c>
      <c r="R123" s="190">
        <f t="shared" si="66"/>
        <v>11841820.2752</v>
      </c>
    </row>
    <row r="124" spans="7:18" x14ac:dyDescent="0.3">
      <c r="N124" s="221" t="s">
        <v>959</v>
      </c>
      <c r="O124" s="190">
        <f>O$20-O77</f>
        <v>122525123.72391599</v>
      </c>
      <c r="P124" s="190">
        <f>P$20-P77</f>
        <v>122525123.72391599</v>
      </c>
      <c r="Q124" s="190">
        <f>Q$20-Q77</f>
        <v>12254761.358975999</v>
      </c>
      <c r="R124" s="190">
        <f>R$20-R77</f>
        <v>12254761.358975999</v>
      </c>
    </row>
    <row r="125" spans="7:18" x14ac:dyDescent="0.3">
      <c r="O125" s="101"/>
      <c r="P125" s="101"/>
      <c r="Q125" s="101"/>
      <c r="R125" s="101"/>
    </row>
    <row r="126" spans="7:18" x14ac:dyDescent="0.3">
      <c r="K126" s="192">
        <f>0.5*O20</f>
        <v>61884001</v>
      </c>
      <c r="L126" s="101">
        <f>O126</f>
        <v>0</v>
      </c>
      <c r="M126" s="101"/>
      <c r="O126" s="101"/>
      <c r="P126" s="101"/>
      <c r="Q126" s="101"/>
      <c r="R126" s="101"/>
    </row>
    <row r="127" spans="7:18" x14ac:dyDescent="0.3">
      <c r="N127" s="221" t="s">
        <v>971</v>
      </c>
      <c r="O127" s="101"/>
      <c r="P127" s="101"/>
      <c r="Q127" s="101"/>
      <c r="R127" s="101"/>
    </row>
    <row r="128" spans="7:18" x14ac:dyDescent="0.3">
      <c r="K128" s="101">
        <f>O23</f>
        <v>5000000</v>
      </c>
      <c r="L128" s="101">
        <f>O128</f>
        <v>20542049.386</v>
      </c>
      <c r="M128" s="101"/>
      <c r="N128" s="221" t="s">
        <v>972</v>
      </c>
      <c r="O128" s="190">
        <f>SUM(O$23:O$27)-SUM(O80, O84, O88)</f>
        <v>20542049.386</v>
      </c>
      <c r="P128" s="190">
        <f>SUM(P$23:P$27)-SUM(P80, P84, P88)</f>
        <v>20542049.386</v>
      </c>
      <c r="Q128" s="190">
        <f>SUM(Q$23:Q$27)-SUM(Q80, Q84, Q88)</f>
        <v>20542049.386</v>
      </c>
      <c r="R128" s="190">
        <f>SUM(R$23:R$27)-SUM(R80, R84, R88)</f>
        <v>20542049.386</v>
      </c>
    </row>
    <row r="129" spans="11:18" x14ac:dyDescent="0.3">
      <c r="K129" s="101">
        <f t="shared" ref="K129:K131" si="67">O24</f>
        <v>5000000</v>
      </c>
      <c r="L129" s="101">
        <f t="shared" ref="L129:L130" si="68">O129</f>
        <v>22202426.816399999</v>
      </c>
      <c r="M129" s="101"/>
      <c r="N129" s="221" t="s">
        <v>972</v>
      </c>
      <c r="O129" s="190">
        <f t="shared" ref="O129:R131" si="69">SUM(O$23:O$27)-SUM(O81, O85, O89)</f>
        <v>22202426.816399999</v>
      </c>
      <c r="P129" s="190">
        <f t="shared" si="69"/>
        <v>22202426.816399999</v>
      </c>
      <c r="Q129" s="190">
        <f t="shared" si="69"/>
        <v>22202426.816399999</v>
      </c>
      <c r="R129" s="190">
        <f t="shared" si="69"/>
        <v>22202426.816399999</v>
      </c>
    </row>
    <row r="130" spans="11:18" x14ac:dyDescent="0.3">
      <c r="K130" s="101">
        <f t="shared" si="67"/>
        <v>2000000</v>
      </c>
      <c r="L130" s="101">
        <f t="shared" si="68"/>
        <v>23330728.665244799</v>
      </c>
      <c r="M130" s="101"/>
      <c r="N130" s="221" t="s">
        <v>972</v>
      </c>
      <c r="O130" s="190">
        <f t="shared" si="69"/>
        <v>23330728.665244799</v>
      </c>
      <c r="P130" s="190">
        <f t="shared" si="69"/>
        <v>23330728.665244799</v>
      </c>
      <c r="Q130" s="190">
        <f t="shared" si="69"/>
        <v>23330728.665244799</v>
      </c>
      <c r="R130" s="190">
        <f t="shared" si="69"/>
        <v>23330728.665244799</v>
      </c>
    </row>
    <row r="131" spans="11:18" x14ac:dyDescent="0.3">
      <c r="K131" s="101">
        <f t="shared" si="67"/>
        <v>2177040</v>
      </c>
      <c r="L131" s="101">
        <f>O84+O131</f>
        <v>24453471.694255874</v>
      </c>
      <c r="M131" s="101"/>
      <c r="N131" s="221" t="s">
        <v>972</v>
      </c>
      <c r="O131" s="190">
        <f t="shared" si="69"/>
        <v>23925231.080255874</v>
      </c>
      <c r="P131" s="190">
        <f t="shared" si="69"/>
        <v>23925231.080255874</v>
      </c>
      <c r="Q131" s="190">
        <f t="shared" si="69"/>
        <v>23925231.080255874</v>
      </c>
      <c r="R131" s="190">
        <f t="shared" si="69"/>
        <v>23925231.080255874</v>
      </c>
    </row>
    <row r="132" spans="11:18" x14ac:dyDescent="0.3">
      <c r="O132" s="190"/>
      <c r="P132" s="190"/>
      <c r="Q132" s="190"/>
      <c r="R132" s="190"/>
    </row>
    <row r="133" spans="11:18" x14ac:dyDescent="0.3">
      <c r="O133" s="190"/>
      <c r="P133" s="190"/>
      <c r="Q133" s="190"/>
      <c r="R133" s="190"/>
    </row>
    <row r="135" spans="11:18" x14ac:dyDescent="0.3">
      <c r="K135" s="101">
        <f>O27</f>
        <v>10000000</v>
      </c>
      <c r="L135" s="101">
        <f>O88+O135</f>
        <v>1606750</v>
      </c>
      <c r="M135" s="101"/>
      <c r="O135" s="190"/>
      <c r="P135" s="190"/>
      <c r="Q135" s="190"/>
      <c r="R135" s="190"/>
    </row>
    <row r="136" spans="11:18" x14ac:dyDescent="0.3">
      <c r="O136" s="190"/>
      <c r="P136" s="190"/>
      <c r="Q136" s="190"/>
      <c r="R136" s="190"/>
    </row>
    <row r="137" spans="11:18" x14ac:dyDescent="0.3">
      <c r="O137" s="190"/>
      <c r="P137" s="190"/>
      <c r="Q137" s="190"/>
      <c r="R137" s="190"/>
    </row>
    <row r="138" spans="11:18" x14ac:dyDescent="0.3">
      <c r="N138" s="221" t="s">
        <v>970</v>
      </c>
      <c r="O138" s="190">
        <f t="shared" ref="O138:R140" si="70">SUM(O$30:O$45)-O98</f>
        <v>162207949.5</v>
      </c>
      <c r="P138" s="190">
        <f t="shared" si="70"/>
        <v>162207949.5</v>
      </c>
      <c r="Q138" s="190">
        <f t="shared" si="70"/>
        <v>96740599.5</v>
      </c>
      <c r="R138" s="190">
        <f t="shared" si="70"/>
        <v>96740599.5</v>
      </c>
    </row>
    <row r="139" spans="11:18" x14ac:dyDescent="0.3">
      <c r="K139" s="101">
        <f>SUM(O30:O45)</f>
        <v>193260000</v>
      </c>
      <c r="L139" s="101">
        <f>O106+O139</f>
        <v>175109020.80000001</v>
      </c>
      <c r="M139" s="101"/>
      <c r="N139" s="221" t="s">
        <v>790</v>
      </c>
      <c r="O139" s="190">
        <f t="shared" si="70"/>
        <v>175109020.80000001</v>
      </c>
      <c r="P139" s="190">
        <f t="shared" si="70"/>
        <v>175109020.80000001</v>
      </c>
      <c r="Q139" s="190">
        <f t="shared" si="70"/>
        <v>104434780.8</v>
      </c>
      <c r="R139" s="190">
        <f t="shared" si="70"/>
        <v>104434780.8</v>
      </c>
    </row>
    <row r="140" spans="11:18" x14ac:dyDescent="0.3">
      <c r="N140" s="221" t="s">
        <v>791</v>
      </c>
      <c r="O140" s="190">
        <f t="shared" si="70"/>
        <v>185011095.0156</v>
      </c>
      <c r="P140" s="190">
        <f t="shared" si="70"/>
        <v>185011095.0156</v>
      </c>
      <c r="Q140" s="190">
        <f t="shared" si="70"/>
        <v>110340364.3356</v>
      </c>
      <c r="R140" s="190">
        <f t="shared" si="70"/>
        <v>110340364.3356</v>
      </c>
    </row>
    <row r="141" spans="11:18" x14ac:dyDescent="0.3">
      <c r="N141" s="221" t="s">
        <v>792</v>
      </c>
      <c r="O141" s="190">
        <f>SUM(O$30:O$45)-O101</f>
        <v>191329025.007384</v>
      </c>
      <c r="P141" s="190">
        <f t="shared" ref="P141:R141" si="71">SUM(P$30:P$45)-P101</f>
        <v>191329025.007384</v>
      </c>
      <c r="Q141" s="190">
        <f t="shared" si="71"/>
        <v>114108369.15218399</v>
      </c>
      <c r="R141" s="190">
        <f t="shared" si="71"/>
        <v>114108369.15218399</v>
      </c>
    </row>
    <row r="142" spans="11:18" x14ac:dyDescent="0.3">
      <c r="N142" s="174" t="s">
        <v>842</v>
      </c>
      <c r="O142" s="186"/>
      <c r="P142" s="186"/>
      <c r="Q142" s="186"/>
      <c r="R142" s="186"/>
    </row>
    <row r="143" spans="11:18" x14ac:dyDescent="0.3">
      <c r="N143" s="186" t="s">
        <v>969</v>
      </c>
      <c r="O143" s="175">
        <f t="shared" ref="O143:R146" si="72">O117+O121+O128+O138</f>
        <v>309540310.93659997</v>
      </c>
      <c r="P143" s="175">
        <f t="shared" si="72"/>
        <v>284905588.76859999</v>
      </c>
      <c r="Q143" s="175">
        <f t="shared" si="72"/>
        <v>152143677.00760001</v>
      </c>
      <c r="R143" s="175">
        <f t="shared" si="72"/>
        <v>127508954.8396</v>
      </c>
    </row>
    <row r="144" spans="11:18" x14ac:dyDescent="0.3">
      <c r="L144" s="66">
        <f>O144+O112</f>
        <v>373530042</v>
      </c>
      <c r="M144" s="66"/>
      <c r="N144" s="186" t="s">
        <v>806</v>
      </c>
      <c r="O144" s="175">
        <f t="shared" si="72"/>
        <v>336754857.42040002</v>
      </c>
      <c r="P144" s="175">
        <f t="shared" si="72"/>
        <v>308961307.28920001</v>
      </c>
      <c r="Q144" s="175">
        <f t="shared" si="72"/>
        <v>165607802.56040001</v>
      </c>
      <c r="R144" s="175">
        <f t="shared" si="72"/>
        <v>137814252.42919999</v>
      </c>
    </row>
    <row r="145" spans="9:18" x14ac:dyDescent="0.3">
      <c r="L145" s="66">
        <f t="shared" ref="L145:L146" si="73">O145+O113</f>
        <v>373530042</v>
      </c>
      <c r="M145" s="66"/>
      <c r="N145" s="186" t="s">
        <v>807</v>
      </c>
      <c r="O145" s="175">
        <f t="shared" si="72"/>
        <v>356953283.89804482</v>
      </c>
      <c r="P145" s="175">
        <f t="shared" si="72"/>
        <v>326750380.38984638</v>
      </c>
      <c r="Q145" s="175">
        <f t="shared" si="72"/>
        <v>175727902.78004479</v>
      </c>
      <c r="R145" s="175">
        <f t="shared" si="72"/>
        <v>145524999.27184641</v>
      </c>
    </row>
    <row r="146" spans="9:18" x14ac:dyDescent="0.3">
      <c r="L146" s="66">
        <f t="shared" si="73"/>
        <v>373530042</v>
      </c>
      <c r="M146" s="66"/>
      <c r="N146" s="186" t="s">
        <v>808</v>
      </c>
      <c r="O146" s="175">
        <f>O120+O124+O131+O141</f>
        <v>369773131.21011585</v>
      </c>
      <c r="P146" s="175">
        <f t="shared" si="72"/>
        <v>337792177.31211531</v>
      </c>
      <c r="Q146" s="175">
        <f t="shared" si="72"/>
        <v>182282112.98997587</v>
      </c>
      <c r="R146" s="175">
        <f t="shared" si="72"/>
        <v>150301159.09197527</v>
      </c>
    </row>
    <row r="147" spans="9:18" x14ac:dyDescent="0.3">
      <c r="M147" s="5" t="s">
        <v>843</v>
      </c>
      <c r="N147" s="221" t="s">
        <v>969</v>
      </c>
      <c r="O147" s="191">
        <f>(O117+O121)/O143</f>
        <v>0.40960840178444213</v>
      </c>
      <c r="P147" s="191">
        <f t="shared" ref="P147:R148" si="74">(P117+P121)/P143</f>
        <v>0.35855944533812095</v>
      </c>
      <c r="Q147" s="191">
        <f t="shared" si="74"/>
        <v>0.2291322834261367</v>
      </c>
      <c r="R147" s="191">
        <f t="shared" si="74"/>
        <v>8.0200688386664221E-2</v>
      </c>
    </row>
    <row r="148" spans="9:18" x14ac:dyDescent="0.3">
      <c r="N148" s="221" t="s">
        <v>806</v>
      </c>
      <c r="O148" s="191">
        <f>(O118+O122)/O144</f>
        <v>0.41407987659676371</v>
      </c>
      <c r="P148" s="191">
        <f t="shared" si="74"/>
        <v>0.36137165735219817</v>
      </c>
      <c r="Q148" s="191">
        <f t="shared" si="74"/>
        <v>0.23531859212845216</v>
      </c>
      <c r="R148" s="191">
        <f t="shared" si="74"/>
        <v>8.1102241718736881E-2</v>
      </c>
    </row>
    <row r="149" spans="9:18" x14ac:dyDescent="0.3">
      <c r="N149" s="221" t="s">
        <v>807</v>
      </c>
      <c r="O149" s="191">
        <f t="shared" ref="O149:R150" si="75">(O119+O123)/O145</f>
        <v>0.41633308032444749</v>
      </c>
      <c r="P149" s="191">
        <f t="shared" si="75"/>
        <v>0.36238230715363873</v>
      </c>
      <c r="Q149" s="191">
        <f t="shared" si="75"/>
        <v>0.23932915099909713</v>
      </c>
      <c r="R149" s="191">
        <f t="shared" si="75"/>
        <v>8.1456150697915744E-2</v>
      </c>
    </row>
    <row r="150" spans="9:18" x14ac:dyDescent="0.3">
      <c r="N150" s="221" t="s">
        <v>808</v>
      </c>
      <c r="O150" s="191">
        <f t="shared" si="75"/>
        <v>0.41787480506438923</v>
      </c>
      <c r="P150" s="191">
        <f t="shared" si="75"/>
        <v>0.36276127588133006</v>
      </c>
      <c r="Q150" s="191">
        <f t="shared" si="75"/>
        <v>0.24274742064225102</v>
      </c>
      <c r="R150" s="191">
        <f t="shared" si="75"/>
        <v>8.1619855320133716E-2</v>
      </c>
    </row>
    <row r="151" spans="9:18" x14ac:dyDescent="0.3">
      <c r="M151" s="5" t="s">
        <v>844</v>
      </c>
      <c r="N151" s="221" t="s">
        <v>969</v>
      </c>
      <c r="O151" s="191">
        <f t="shared" ref="O151:R154" si="76">(O128)/O143</f>
        <v>6.6363083127507175E-2</v>
      </c>
      <c r="P151" s="191">
        <f t="shared" si="76"/>
        <v>7.2101251066311059E-2</v>
      </c>
      <c r="Q151" s="191">
        <f t="shared" si="76"/>
        <v>0.13501743739882049</v>
      </c>
      <c r="R151" s="191">
        <f t="shared" si="76"/>
        <v>0.16110279793165028</v>
      </c>
    </row>
    <row r="152" spans="9:18" x14ac:dyDescent="0.3">
      <c r="N152" s="221" t="s">
        <v>806</v>
      </c>
      <c r="O152" s="191">
        <f t="shared" si="76"/>
        <v>6.5930531741915752E-2</v>
      </c>
      <c r="P152" s="191">
        <f t="shared" si="76"/>
        <v>7.1861512404909816E-2</v>
      </c>
      <c r="Q152" s="191">
        <f t="shared" si="76"/>
        <v>0.13406630891260327</v>
      </c>
      <c r="R152" s="191">
        <f t="shared" si="76"/>
        <v>0.16110399632147018</v>
      </c>
    </row>
    <row r="153" spans="9:18" x14ac:dyDescent="0.3">
      <c r="N153" s="221" t="s">
        <v>807</v>
      </c>
      <c r="O153" s="191">
        <f t="shared" si="76"/>
        <v>6.5360734072721582E-2</v>
      </c>
      <c r="P153" s="191">
        <f t="shared" si="76"/>
        <v>7.14022999373677E-2</v>
      </c>
      <c r="Q153" s="191">
        <f t="shared" si="76"/>
        <v>0.1327662158151823</v>
      </c>
      <c r="R153" s="191">
        <f t="shared" si="76"/>
        <v>0.16032110484097706</v>
      </c>
    </row>
    <row r="154" spans="9:18" x14ac:dyDescent="0.3">
      <c r="N154" s="221" t="s">
        <v>808</v>
      </c>
      <c r="O154" s="191">
        <f>(O131)/O146</f>
        <v>6.4702459591799988E-2</v>
      </c>
      <c r="P154" s="191">
        <f t="shared" si="76"/>
        <v>7.0828256801664449E-2</v>
      </c>
      <c r="Q154" s="191">
        <f t="shared" si="76"/>
        <v>0.13125386077553083</v>
      </c>
      <c r="R154" s="191">
        <f t="shared" si="76"/>
        <v>0.1591819465983963</v>
      </c>
    </row>
    <row r="155" spans="9:18" x14ac:dyDescent="0.3">
      <c r="M155" s="5" t="s">
        <v>845</v>
      </c>
      <c r="N155" s="221" t="s">
        <v>969</v>
      </c>
      <c r="O155" s="191">
        <f t="shared" ref="O155:R158" si="77">O138/O143</f>
        <v>0.52402851508805071</v>
      </c>
      <c r="P155" s="191">
        <f t="shared" si="77"/>
        <v>0.56933930359556806</v>
      </c>
      <c r="Q155" s="191">
        <f t="shared" si="77"/>
        <v>0.63585027917504278</v>
      </c>
      <c r="R155" s="191">
        <f t="shared" si="77"/>
        <v>0.75869651368168556</v>
      </c>
    </row>
    <row r="156" spans="9:18" x14ac:dyDescent="0.3">
      <c r="N156" s="221" t="s">
        <v>806</v>
      </c>
      <c r="O156" s="191">
        <f t="shared" si="77"/>
        <v>0.51998959166132053</v>
      </c>
      <c r="P156" s="191">
        <f t="shared" si="77"/>
        <v>0.56676683024289198</v>
      </c>
      <c r="Q156" s="191">
        <f t="shared" si="77"/>
        <v>0.63061509895894452</v>
      </c>
      <c r="R156" s="191">
        <f t="shared" si="77"/>
        <v>0.75779376195979298</v>
      </c>
    </row>
    <row r="157" spans="9:18" x14ac:dyDescent="0.3">
      <c r="N157" s="221" t="s">
        <v>807</v>
      </c>
      <c r="O157" s="191">
        <f t="shared" si="77"/>
        <v>0.51830618560283082</v>
      </c>
      <c r="P157" s="191">
        <f t="shared" si="77"/>
        <v>0.56621539290899359</v>
      </c>
      <c r="Q157" s="191">
        <f t="shared" si="77"/>
        <v>0.62790463318572065</v>
      </c>
      <c r="R157" s="191">
        <f t="shared" si="77"/>
        <v>0.75822274446110716</v>
      </c>
    </row>
    <row r="158" spans="9:18" x14ac:dyDescent="0.3">
      <c r="I158" s="221" t="s">
        <v>935</v>
      </c>
      <c r="K158" s="221" t="s">
        <v>35</v>
      </c>
      <c r="N158" s="221" t="s">
        <v>808</v>
      </c>
      <c r="O158" s="191">
        <f t="shared" si="77"/>
        <v>0.51742273534381078</v>
      </c>
      <c r="P158" s="191">
        <f t="shared" si="77"/>
        <v>0.56641046731700551</v>
      </c>
      <c r="Q158" s="191">
        <f t="shared" si="77"/>
        <v>0.62599871858221812</v>
      </c>
      <c r="R158" s="191">
        <f t="shared" si="77"/>
        <v>0.75919819808147015</v>
      </c>
    </row>
    <row r="159" spans="9:18" x14ac:dyDescent="0.3">
      <c r="J159" s="221" t="s">
        <v>872</v>
      </c>
      <c r="K159" s="221" t="s">
        <v>36</v>
      </c>
      <c r="L159" s="221" t="s">
        <v>936</v>
      </c>
    </row>
    <row r="160" spans="9:18" x14ac:dyDescent="0.3">
      <c r="I160" s="221" t="s">
        <v>28</v>
      </c>
      <c r="J160" s="221">
        <v>0.67500000000000004</v>
      </c>
      <c r="K160" s="221">
        <v>1E-3</v>
      </c>
      <c r="L160" s="221">
        <f>J160*K160</f>
        <v>6.7500000000000004E-4</v>
      </c>
      <c r="O160" s="1">
        <f>O147+O151+O155</f>
        <v>1</v>
      </c>
      <c r="P160" s="1">
        <f t="shared" ref="P160:R160" si="78">P147+P151+P155</f>
        <v>1</v>
      </c>
      <c r="Q160" s="1">
        <f t="shared" si="78"/>
        <v>1</v>
      </c>
      <c r="R160" s="1">
        <f t="shared" si="78"/>
        <v>1</v>
      </c>
    </row>
    <row r="161" spans="9:18" x14ac:dyDescent="0.3">
      <c r="I161" s="221" t="s">
        <v>9</v>
      </c>
      <c r="J161" s="221">
        <v>0.13100000000000001</v>
      </c>
      <c r="K161" s="221">
        <v>2.9000000000000001E-2</v>
      </c>
      <c r="L161" s="221">
        <f t="shared" ref="L161:L166" si="79">J161*K161</f>
        <v>3.7990000000000003E-3</v>
      </c>
      <c r="O161" s="1">
        <f t="shared" ref="O161:R163" si="80">O148+O152+O156</f>
        <v>1</v>
      </c>
      <c r="P161" s="1">
        <f t="shared" si="80"/>
        <v>1</v>
      </c>
      <c r="Q161" s="1">
        <f t="shared" si="80"/>
        <v>1</v>
      </c>
      <c r="R161" s="1">
        <f t="shared" si="80"/>
        <v>1</v>
      </c>
    </row>
    <row r="162" spans="9:18" x14ac:dyDescent="0.3">
      <c r="I162" s="221" t="s">
        <v>8</v>
      </c>
      <c r="J162" s="221">
        <v>0.06</v>
      </c>
      <c r="K162" s="221">
        <v>0.45100000000000001</v>
      </c>
      <c r="L162" s="221">
        <f t="shared" si="79"/>
        <v>2.7060000000000001E-2</v>
      </c>
      <c r="O162" s="1">
        <f t="shared" si="80"/>
        <v>0.99999999999999989</v>
      </c>
      <c r="P162" s="1">
        <f t="shared" si="80"/>
        <v>1</v>
      </c>
      <c r="Q162" s="1">
        <f t="shared" si="80"/>
        <v>1</v>
      </c>
      <c r="R162" s="1">
        <f t="shared" si="80"/>
        <v>1</v>
      </c>
    </row>
    <row r="163" spans="9:18" x14ac:dyDescent="0.3">
      <c r="I163" s="221" t="s">
        <v>7</v>
      </c>
      <c r="J163" s="221">
        <v>4.2999999999999997E-2</v>
      </c>
      <c r="K163" s="221">
        <v>1.008</v>
      </c>
      <c r="L163" s="221">
        <f t="shared" si="79"/>
        <v>4.3343999999999994E-2</v>
      </c>
      <c r="O163" s="1">
        <f t="shared" si="80"/>
        <v>1</v>
      </c>
      <c r="P163" s="1">
        <f t="shared" si="80"/>
        <v>1</v>
      </c>
      <c r="Q163" s="1">
        <f t="shared" si="80"/>
        <v>1</v>
      </c>
      <c r="R163" s="1">
        <f t="shared" si="80"/>
        <v>1.0000000000000002</v>
      </c>
    </row>
    <row r="164" spans="9:18" x14ac:dyDescent="0.3">
      <c r="I164" s="221" t="s">
        <v>6</v>
      </c>
      <c r="J164" s="221">
        <v>2.4E-2</v>
      </c>
      <c r="K164" s="221">
        <v>2.5529999999999999</v>
      </c>
      <c r="L164" s="221">
        <f t="shared" si="79"/>
        <v>6.1272E-2</v>
      </c>
    </row>
    <row r="165" spans="9:18" x14ac:dyDescent="0.3">
      <c r="I165" s="221" t="s">
        <v>5</v>
      </c>
      <c r="J165" s="221">
        <v>2.4E-2</v>
      </c>
      <c r="K165" s="221">
        <v>5.6909999999999998</v>
      </c>
      <c r="L165" s="221">
        <f t="shared" si="79"/>
        <v>0.13658400000000001</v>
      </c>
    </row>
    <row r="166" spans="9:18" x14ac:dyDescent="0.3">
      <c r="I166" s="221" t="s">
        <v>4</v>
      </c>
      <c r="J166" s="221">
        <v>4.2999999999999997E-2</v>
      </c>
      <c r="K166" s="221">
        <v>9.5969999999999995</v>
      </c>
      <c r="L166" s="221">
        <f t="shared" si="79"/>
        <v>0.41267099999999995</v>
      </c>
    </row>
    <row r="168" spans="9:18" x14ac:dyDescent="0.3">
      <c r="I168" s="221" t="s">
        <v>97</v>
      </c>
      <c r="J168" s="221">
        <f>SUM(J160:J166)</f>
        <v>1.0000000000000002</v>
      </c>
      <c r="L168" s="221">
        <f t="shared" ref="L168" si="81">SUM(L160:L166)</f>
        <v>0.68540500000000004</v>
      </c>
    </row>
    <row r="170" spans="9:18" ht="43.2" x14ac:dyDescent="0.3">
      <c r="L170" s="221" t="s">
        <v>937</v>
      </c>
      <c r="N170" s="2" t="s">
        <v>948</v>
      </c>
      <c r="O170" s="219" t="s">
        <v>949</v>
      </c>
    </row>
    <row r="171" spans="9:18" x14ac:dyDescent="0.3">
      <c r="J171" s="221" t="s">
        <v>938</v>
      </c>
      <c r="L171" s="101">
        <f>0.01*1000000*$L$168</f>
        <v>6854.05</v>
      </c>
      <c r="M171" s="101"/>
      <c r="N171" s="221">
        <f>1/25</f>
        <v>0.04</v>
      </c>
      <c r="O171" s="216">
        <f>L171*N171</f>
        <v>274.16200000000003</v>
      </c>
    </row>
    <row r="172" spans="9:18" x14ac:dyDescent="0.3">
      <c r="J172" s="221" t="s">
        <v>44</v>
      </c>
      <c r="K172" s="221">
        <v>2.5000000000000001E-2</v>
      </c>
      <c r="L172" s="101">
        <f>0.025*1000000*$L$168</f>
        <v>17135.125</v>
      </c>
      <c r="M172" s="101"/>
      <c r="N172" s="221">
        <f>1/8</f>
        <v>0.125</v>
      </c>
      <c r="O172" s="216">
        <f t="shared" ref="O172:O173" si="82">L172*N172</f>
        <v>2141.890625</v>
      </c>
    </row>
    <row r="173" spans="9:18" x14ac:dyDescent="0.3">
      <c r="J173" s="221" t="s">
        <v>45</v>
      </c>
      <c r="K173" s="221">
        <v>0.03</v>
      </c>
      <c r="L173" s="101">
        <f>0.03*1000000*$L$168</f>
        <v>20562.150000000001</v>
      </c>
      <c r="M173" s="101"/>
      <c r="N173" s="221">
        <f>1/5</f>
        <v>0.2</v>
      </c>
      <c r="O173" s="216">
        <f t="shared" si="82"/>
        <v>4112.43</v>
      </c>
    </row>
    <row r="175" spans="9:18" x14ac:dyDescent="0.3">
      <c r="O175" s="221" t="s">
        <v>940</v>
      </c>
    </row>
    <row r="176" spans="9:18" x14ac:dyDescent="0.3">
      <c r="I176" s="221" t="s">
        <v>939</v>
      </c>
      <c r="K176" s="101">
        <f>0.0367*19.3*47</f>
        <v>33.290570000000002</v>
      </c>
      <c r="N176" s="221">
        <f>1/25</f>
        <v>0.04</v>
      </c>
      <c r="O176" s="216">
        <f>$K$176*N176</f>
        <v>1.3316228000000001</v>
      </c>
    </row>
    <row r="177" spans="14:15" x14ac:dyDescent="0.3">
      <c r="N177" s="221">
        <f>1/8</f>
        <v>0.125</v>
      </c>
      <c r="O177" s="216">
        <f t="shared" ref="O177:O178" si="83">$K$176*N177</f>
        <v>4.1613212500000003</v>
      </c>
    </row>
    <row r="178" spans="14:15" x14ac:dyDescent="0.3">
      <c r="N178" s="221">
        <f>1/5</f>
        <v>0.2</v>
      </c>
      <c r="O178" s="216">
        <f t="shared" si="83"/>
        <v>6.6581140000000012</v>
      </c>
    </row>
  </sheetData>
  <mergeCells count="1">
    <mergeCell ref="O5:R5"/>
  </mergeCell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4A50C-6F04-438D-A6CD-CCF98DC00E4F}">
  <dimension ref="A3:AL300"/>
  <sheetViews>
    <sheetView topLeftCell="A19" zoomScale="75" zoomScaleNormal="75" workbookViewId="0">
      <selection activeCell="M36" sqref="M36"/>
    </sheetView>
  </sheetViews>
  <sheetFormatPr defaultRowHeight="14.4" x14ac:dyDescent="0.3"/>
  <cols>
    <col min="1" max="1" width="12.5546875" style="221" customWidth="1"/>
    <col min="2" max="2" width="17.77734375" style="221" customWidth="1"/>
    <col min="3" max="3" width="21.33203125" style="221" customWidth="1"/>
    <col min="4" max="4" width="19.88671875" style="221" customWidth="1"/>
    <col min="5" max="5" width="17.6640625" style="221" customWidth="1"/>
    <col min="6" max="6" width="14.88671875" style="221" customWidth="1"/>
    <col min="7" max="7" width="14" style="221" customWidth="1"/>
    <col min="8" max="8" width="14.88671875" style="221" customWidth="1"/>
    <col min="9" max="9" width="13.5546875" style="221" customWidth="1"/>
    <col min="10" max="10" width="15" style="221" customWidth="1"/>
    <col min="11" max="11" width="13.21875" style="221" customWidth="1"/>
    <col min="12" max="12" width="12" style="221" customWidth="1"/>
    <col min="13" max="13" width="15.44140625" style="221" customWidth="1"/>
    <col min="14" max="14" width="8.88671875" style="221"/>
    <col min="15" max="15" width="15.109375" style="221" customWidth="1"/>
    <col min="16" max="18" width="12.77734375" style="221" customWidth="1"/>
    <col min="19" max="19" width="6.88671875" style="221" customWidth="1"/>
    <col min="20" max="20" width="15" style="221" customWidth="1"/>
    <col min="21" max="23" width="12.77734375" style="221" customWidth="1"/>
    <col min="24" max="24" width="6.88671875" style="221" customWidth="1"/>
    <col min="25" max="25" width="15.44140625" style="221" customWidth="1"/>
    <col min="26" max="28" width="12.77734375" style="221" customWidth="1"/>
    <col min="29" max="29" width="6.88671875" style="221" customWidth="1"/>
    <col min="30" max="30" width="15.109375" style="221" customWidth="1"/>
    <col min="31" max="32" width="12.77734375" style="221" customWidth="1"/>
    <col min="33" max="33" width="14" style="221" customWidth="1"/>
    <col min="34" max="34" width="8.88671875" style="221"/>
    <col min="35" max="35" width="14" style="221" customWidth="1"/>
    <col min="36" max="36" width="13.5546875" style="221" customWidth="1"/>
    <col min="37" max="37" width="12.5546875" style="221" customWidth="1"/>
    <col min="38" max="38" width="13.109375" style="221" customWidth="1"/>
    <col min="39" max="16384" width="8.88671875" style="221"/>
  </cols>
  <sheetData>
    <row r="3" spans="2:6" ht="144" x14ac:dyDescent="0.3">
      <c r="B3" s="222"/>
      <c r="C3" s="107" t="s">
        <v>1078</v>
      </c>
      <c r="D3" s="107" t="s">
        <v>1079</v>
      </c>
      <c r="E3" s="107" t="s">
        <v>1080</v>
      </c>
      <c r="F3" s="107" t="s">
        <v>1081</v>
      </c>
    </row>
    <row r="4" spans="2:6" x14ac:dyDescent="0.3">
      <c r="B4" s="221" t="s">
        <v>743</v>
      </c>
      <c r="C4" s="2">
        <v>100</v>
      </c>
      <c r="D4" s="2">
        <v>100</v>
      </c>
      <c r="E4" s="2">
        <v>100</v>
      </c>
      <c r="F4" s="2">
        <v>100</v>
      </c>
    </row>
    <row r="5" spans="2:6" x14ac:dyDescent="0.3">
      <c r="B5" s="221" t="s">
        <v>745</v>
      </c>
      <c r="C5" s="2" t="s">
        <v>883</v>
      </c>
      <c r="D5" s="2" t="s">
        <v>883</v>
      </c>
      <c r="E5" s="2" t="s">
        <v>883</v>
      </c>
      <c r="F5" s="2" t="s">
        <v>883</v>
      </c>
    </row>
    <row r="6" spans="2:6" x14ac:dyDescent="0.3">
      <c r="B6" s="221" t="s">
        <v>756</v>
      </c>
      <c r="C6" s="2" t="s">
        <v>885</v>
      </c>
      <c r="D6" s="2" t="s">
        <v>885</v>
      </c>
      <c r="E6" s="2" t="s">
        <v>885</v>
      </c>
      <c r="F6" s="2" t="s">
        <v>885</v>
      </c>
    </row>
    <row r="7" spans="2:6" x14ac:dyDescent="0.3">
      <c r="B7" s="221" t="s">
        <v>755</v>
      </c>
      <c r="C7" s="221">
        <v>660</v>
      </c>
      <c r="D7" s="221">
        <v>660</v>
      </c>
      <c r="E7" s="221">
        <v>660</v>
      </c>
      <c r="F7" s="221">
        <v>660</v>
      </c>
    </row>
    <row r="8" spans="2:6" x14ac:dyDescent="0.3">
      <c r="B8" s="221" t="s">
        <v>760</v>
      </c>
      <c r="C8" s="221">
        <v>99</v>
      </c>
      <c r="D8" s="221">
        <v>1</v>
      </c>
      <c r="E8" s="221">
        <v>99</v>
      </c>
      <c r="F8" s="221">
        <v>1</v>
      </c>
    </row>
    <row r="9" spans="2:6" x14ac:dyDescent="0.3">
      <c r="B9" s="221" t="s">
        <v>761</v>
      </c>
      <c r="C9" s="221">
        <v>5</v>
      </c>
      <c r="D9" s="221">
        <v>2E-3</v>
      </c>
      <c r="E9" s="221">
        <v>5</v>
      </c>
      <c r="F9" s="221">
        <v>2E-3</v>
      </c>
    </row>
    <row r="11" spans="2:6" x14ac:dyDescent="0.3">
      <c r="B11" s="221" t="s">
        <v>744</v>
      </c>
      <c r="C11" s="2" t="s">
        <v>884</v>
      </c>
      <c r="D11" s="2" t="s">
        <v>884</v>
      </c>
      <c r="E11" s="2" t="s">
        <v>884</v>
      </c>
      <c r="F11" s="2" t="s">
        <v>884</v>
      </c>
    </row>
    <row r="12" spans="2:6" x14ac:dyDescent="0.3">
      <c r="B12" s="221" t="s">
        <v>82</v>
      </c>
      <c r="C12" s="221">
        <v>5</v>
      </c>
      <c r="D12" s="221">
        <v>5</v>
      </c>
      <c r="E12" s="221">
        <v>5</v>
      </c>
      <c r="F12" s="221">
        <v>5</v>
      </c>
    </row>
    <row r="13" spans="2:6" x14ac:dyDescent="0.3">
      <c r="B13" s="221" t="s">
        <v>742</v>
      </c>
      <c r="C13" s="221">
        <v>120</v>
      </c>
      <c r="D13" s="221">
        <v>120</v>
      </c>
      <c r="E13" s="221">
        <v>99</v>
      </c>
      <c r="F13" s="221">
        <v>99</v>
      </c>
    </row>
    <row r="14" spans="2:6" x14ac:dyDescent="0.3">
      <c r="B14" s="221" t="s">
        <v>92</v>
      </c>
      <c r="C14" s="221">
        <v>544.9</v>
      </c>
      <c r="D14" s="221">
        <v>544.9</v>
      </c>
      <c r="E14" s="221">
        <v>54.9</v>
      </c>
      <c r="F14" s="221">
        <v>54.9</v>
      </c>
    </row>
    <row r="16" spans="2:6" ht="144" x14ac:dyDescent="0.3">
      <c r="C16" s="107" t="s">
        <v>1078</v>
      </c>
      <c r="D16" s="107" t="s">
        <v>1079</v>
      </c>
      <c r="E16" s="107" t="s">
        <v>1080</v>
      </c>
      <c r="F16" s="107" t="s">
        <v>1081</v>
      </c>
    </row>
    <row r="17" spans="2:15" x14ac:dyDescent="0.3">
      <c r="B17" s="174" t="s">
        <v>799</v>
      </c>
      <c r="C17" s="175">
        <v>373530042</v>
      </c>
      <c r="D17" s="175">
        <v>341217972</v>
      </c>
      <c r="E17" s="175">
        <v>184141112</v>
      </c>
      <c r="F17" s="175">
        <v>151829042</v>
      </c>
    </row>
    <row r="18" spans="2:15" x14ac:dyDescent="0.3">
      <c r="F18" s="101"/>
    </row>
    <row r="19" spans="2:15" x14ac:dyDescent="0.3">
      <c r="B19" s="221" t="s">
        <v>768</v>
      </c>
      <c r="C19" s="101">
        <v>32325000.000000004</v>
      </c>
      <c r="D19" s="101">
        <v>12930</v>
      </c>
      <c r="E19" s="101">
        <v>32325000.000000004</v>
      </c>
      <c r="F19" s="101">
        <v>12930</v>
      </c>
    </row>
    <row r="20" spans="2:15" x14ac:dyDescent="0.3">
      <c r="B20" s="221" t="s">
        <v>769</v>
      </c>
      <c r="C20" s="101">
        <v>6088520</v>
      </c>
      <c r="D20" s="101">
        <v>6088520</v>
      </c>
      <c r="E20" s="101">
        <v>6088520</v>
      </c>
      <c r="F20" s="101">
        <v>6088520</v>
      </c>
    </row>
    <row r="21" spans="2:15" x14ac:dyDescent="0.3">
      <c r="B21" s="8" t="s">
        <v>770</v>
      </c>
      <c r="C21" s="170">
        <v>96630000</v>
      </c>
      <c r="D21" s="170">
        <v>96630000</v>
      </c>
      <c r="E21" s="170">
        <v>57630000</v>
      </c>
      <c r="F21" s="170">
        <v>57630000</v>
      </c>
    </row>
    <row r="22" spans="2:15" x14ac:dyDescent="0.3">
      <c r="B22" s="146" t="s">
        <v>773</v>
      </c>
      <c r="C22" s="171">
        <v>135043520</v>
      </c>
      <c r="D22" s="171">
        <v>102731450</v>
      </c>
      <c r="E22" s="171">
        <v>96043520</v>
      </c>
      <c r="F22" s="171">
        <v>63731450</v>
      </c>
    </row>
    <row r="23" spans="2:15" x14ac:dyDescent="0.3">
      <c r="C23" s="101"/>
      <c r="D23" s="101"/>
      <c r="E23" s="101"/>
      <c r="F23" s="101"/>
    </row>
    <row r="25" spans="2:15" x14ac:dyDescent="0.3">
      <c r="B25" s="221" t="s">
        <v>771</v>
      </c>
      <c r="C25" s="101">
        <v>123768002</v>
      </c>
      <c r="D25" s="101">
        <v>123768002</v>
      </c>
      <c r="E25" s="101">
        <v>12379072</v>
      </c>
      <c r="F25" s="101">
        <v>12379072</v>
      </c>
    </row>
    <row r="26" spans="2:15" x14ac:dyDescent="0.3">
      <c r="B26" s="221" t="s">
        <v>772</v>
      </c>
      <c r="C26" s="101">
        <v>18088520</v>
      </c>
      <c r="D26" s="101">
        <v>18088520</v>
      </c>
      <c r="E26" s="101">
        <v>18088520</v>
      </c>
      <c r="F26" s="101">
        <v>18088520</v>
      </c>
      <c r="G26" s="156"/>
      <c r="H26" s="156"/>
      <c r="I26" s="156"/>
      <c r="J26" s="156"/>
      <c r="K26" s="156" t="s">
        <v>1069</v>
      </c>
    </row>
    <row r="27" spans="2:15" x14ac:dyDescent="0.3">
      <c r="B27" s="8" t="s">
        <v>813</v>
      </c>
      <c r="C27" s="170">
        <v>96630000</v>
      </c>
      <c r="D27" s="170">
        <v>96630000</v>
      </c>
      <c r="E27" s="170">
        <v>57630000</v>
      </c>
      <c r="F27" s="170">
        <v>57630000</v>
      </c>
      <c r="G27" s="156">
        <f>(C25+C19)/C17</f>
        <v>0.417886071932067</v>
      </c>
      <c r="H27" s="156">
        <f>(D25+D19)/D17</f>
        <v>0.36276205287334629</v>
      </c>
      <c r="I27" s="156">
        <f t="shared" ref="I27:J27" si="0">(E25+E19)/E17</f>
        <v>0.24277072900482974</v>
      </c>
      <c r="J27" s="156">
        <f t="shared" si="0"/>
        <v>8.1618126787627365E-2</v>
      </c>
      <c r="K27" s="156" t="s">
        <v>814</v>
      </c>
    </row>
    <row r="28" spans="2:15" x14ac:dyDescent="0.3">
      <c r="B28" s="146" t="s">
        <v>774</v>
      </c>
      <c r="C28" s="171">
        <v>238486522</v>
      </c>
      <c r="D28" s="171">
        <v>238486522</v>
      </c>
      <c r="E28" s="171">
        <v>88097592</v>
      </c>
      <c r="F28" s="171">
        <v>88097592</v>
      </c>
      <c r="G28" s="156">
        <f>(C20+C26)/C17</f>
        <v>6.4725824650002317E-2</v>
      </c>
      <c r="H28" s="156">
        <f t="shared" ref="H28:J28" si="1">(D20+D26)/D17</f>
        <v>7.0855118967766445E-2</v>
      </c>
      <c r="I28" s="156">
        <f t="shared" si="1"/>
        <v>0.13129626370454414</v>
      </c>
      <c r="J28" s="156">
        <f t="shared" si="1"/>
        <v>0.15923857307879213</v>
      </c>
      <c r="K28" s="156" t="s">
        <v>815</v>
      </c>
      <c r="L28" s="361" t="s">
        <v>1070</v>
      </c>
      <c r="M28" s="361"/>
      <c r="N28" s="361"/>
      <c r="O28" s="361"/>
    </row>
    <row r="29" spans="2:15" x14ac:dyDescent="0.3">
      <c r="B29" s="173"/>
      <c r="C29" s="173"/>
      <c r="D29" s="173"/>
      <c r="E29" s="173"/>
      <c r="F29" s="173"/>
      <c r="G29" s="156">
        <f>(C21+C27)/C17</f>
        <v>0.51738810341793073</v>
      </c>
      <c r="H29" s="156">
        <f t="shared" ref="H29:J29" si="2">(D21+D27)/D17</f>
        <v>0.5663828281588873</v>
      </c>
      <c r="I29" s="156">
        <f t="shared" si="2"/>
        <v>0.62593300729062606</v>
      </c>
      <c r="J29" s="156">
        <f t="shared" si="2"/>
        <v>0.75914330013358056</v>
      </c>
      <c r="K29" s="156" t="s">
        <v>816</v>
      </c>
      <c r="L29" s="361">
        <f>C28/C17</f>
        <v>0.6384667769239295</v>
      </c>
      <c r="M29" s="361">
        <f t="shared" ref="M29:O29" si="3">D28/D17</f>
        <v>0.69892720070442249</v>
      </c>
      <c r="N29" s="361">
        <f t="shared" si="3"/>
        <v>0.47842435099446995</v>
      </c>
      <c r="O29" s="361">
        <f t="shared" si="3"/>
        <v>0.58024203300973209</v>
      </c>
    </row>
    <row r="30" spans="2:15" x14ac:dyDescent="0.3">
      <c r="B30" s="86" t="s">
        <v>1008</v>
      </c>
      <c r="G30" s="362" t="s">
        <v>1071</v>
      </c>
      <c r="H30" s="362"/>
      <c r="I30" s="362"/>
      <c r="J30" s="362"/>
    </row>
    <row r="31" spans="2:15" x14ac:dyDescent="0.3">
      <c r="B31" s="221" t="s">
        <v>973</v>
      </c>
      <c r="C31" s="101">
        <v>63989731.0634</v>
      </c>
      <c r="D31" s="101">
        <v>56312383.231399998</v>
      </c>
      <c r="E31" s="101">
        <v>31997434.992399998</v>
      </c>
      <c r="F31" s="101">
        <v>24320087.160399999</v>
      </c>
      <c r="G31" s="362">
        <f>C31/C17</f>
        <v>0.17131080199273505</v>
      </c>
      <c r="H31" s="362">
        <f t="shared" ref="H31:J31" si="4">D31/D17</f>
        <v>0.16503346204577993</v>
      </c>
      <c r="I31" s="362">
        <f t="shared" si="4"/>
        <v>0.17376583993041161</v>
      </c>
      <c r="J31" s="362">
        <f t="shared" si="4"/>
        <v>0.16018073248726683</v>
      </c>
    </row>
    <row r="32" spans="2:15" x14ac:dyDescent="0.3">
      <c r="B32" s="221" t="s">
        <v>796</v>
      </c>
      <c r="C32" s="101">
        <v>36775184.579600006</v>
      </c>
      <c r="D32" s="101">
        <v>32256664.710800007</v>
      </c>
      <c r="E32" s="101">
        <v>18533309.439600006</v>
      </c>
      <c r="F32" s="101">
        <v>14014789.570800003</v>
      </c>
      <c r="G32" s="362">
        <f>C32/C17</f>
        <v>9.8453083941237599E-2</v>
      </c>
      <c r="H32" s="362">
        <f t="shared" ref="H32:J32" si="5">D32/D17</f>
        <v>9.453389726728699E-2</v>
      </c>
      <c r="I32" s="362">
        <f t="shared" si="5"/>
        <v>0.10064732008135155</v>
      </c>
      <c r="J32" s="362">
        <f t="shared" si="5"/>
        <v>9.2306382139986126E-2</v>
      </c>
    </row>
    <row r="33" spans="2:10" x14ac:dyDescent="0.3">
      <c r="B33" s="221" t="s">
        <v>797</v>
      </c>
      <c r="C33" s="101">
        <v>16576758.101955198</v>
      </c>
      <c r="D33" s="101">
        <v>14467591.610153597</v>
      </c>
      <c r="E33" s="101">
        <v>8413209.2199551985</v>
      </c>
      <c r="F33" s="101">
        <v>6304042.7281535994</v>
      </c>
      <c r="G33" s="362">
        <f>C33/C17</f>
        <v>4.4378647600064249E-2</v>
      </c>
      <c r="H33" s="362">
        <f t="shared" ref="H33:J33" si="6">D33/D17</f>
        <v>4.2399852286073597E-2</v>
      </c>
      <c r="I33" s="362">
        <f t="shared" si="6"/>
        <v>4.5688923720386777E-2</v>
      </c>
      <c r="J33" s="362">
        <f t="shared" si="6"/>
        <v>4.1520664591650387E-2</v>
      </c>
    </row>
    <row r="34" spans="2:10" x14ac:dyDescent="0.3">
      <c r="B34" s="221" t="s">
        <v>798</v>
      </c>
      <c r="C34" s="101">
        <v>3756910.7898841305</v>
      </c>
      <c r="D34" s="101">
        <v>3425794.6878847061</v>
      </c>
      <c r="E34" s="101">
        <v>1858999.0100241294</v>
      </c>
      <c r="F34" s="101">
        <v>1527882.908024705</v>
      </c>
      <c r="G34" s="362">
        <f>C34/C17</f>
        <v>1.0057854435933511E-2</v>
      </c>
      <c r="H34" s="362">
        <f t="shared" ref="H34:J34" si="7">D34/D17</f>
        <v>1.0039901086700984E-2</v>
      </c>
      <c r="I34" s="362">
        <f t="shared" si="7"/>
        <v>1.0095513108577999E-2</v>
      </c>
      <c r="J34" s="362">
        <f t="shared" si="7"/>
        <v>1.0063179533364275E-2</v>
      </c>
    </row>
    <row r="35" spans="2:10" x14ac:dyDescent="0.3">
      <c r="B35" s="86" t="s">
        <v>1009</v>
      </c>
      <c r="G35" s="363" t="s">
        <v>1072</v>
      </c>
      <c r="H35" s="363"/>
      <c r="I35" s="363"/>
      <c r="J35" s="363"/>
    </row>
    <row r="36" spans="2:10" x14ac:dyDescent="0.3">
      <c r="B36" s="221" t="s">
        <v>975</v>
      </c>
      <c r="C36" s="101">
        <v>35349195.838699996</v>
      </c>
      <c r="D36" s="101">
        <v>27671848.006700002</v>
      </c>
      <c r="E36" s="101">
        <v>19353047.803199999</v>
      </c>
      <c r="F36" s="101">
        <v>11675699.9712</v>
      </c>
      <c r="G36" s="363">
        <f>C36/(C22+0.5*C28)</f>
        <v>0.13901310834832581</v>
      </c>
      <c r="H36" s="363">
        <f t="shared" ref="H36:J36" si="8">D36/(D22+0.5*D28)</f>
        <v>0.12466216481164831</v>
      </c>
      <c r="I36" s="363">
        <f t="shared" si="8"/>
        <v>0.13814496294857456</v>
      </c>
      <c r="J36" s="363">
        <f t="shared" si="8"/>
        <v>0.1083287560059939</v>
      </c>
    </row>
    <row r="37" spans="2:10" x14ac:dyDescent="0.3">
      <c r="B37" s="221" t="s">
        <v>800</v>
      </c>
      <c r="C37" s="101">
        <v>20445462.8816</v>
      </c>
      <c r="D37" s="101">
        <v>15926943.012800002</v>
      </c>
      <c r="E37" s="101">
        <v>11324525.311600002</v>
      </c>
      <c r="F37" s="101">
        <v>6806005.4428000003</v>
      </c>
      <c r="G37" s="363">
        <f>C37/(C22+0.5*C28)</f>
        <v>8.0403168427382779E-2</v>
      </c>
      <c r="H37" s="363">
        <f t="shared" ref="H37:J37" si="9">D37/(D22+0.5*D28)</f>
        <v>7.1751160035523162E-2</v>
      </c>
      <c r="I37" s="363">
        <f t="shared" si="9"/>
        <v>8.0836163145450474E-2</v>
      </c>
      <c r="J37" s="363">
        <f t="shared" si="9"/>
        <v>6.3147057975725909E-2</v>
      </c>
    </row>
    <row r="38" spans="2:10" x14ac:dyDescent="0.3">
      <c r="B38" s="221" t="s">
        <v>801</v>
      </c>
      <c r="C38" s="101">
        <v>9286725.2663551979</v>
      </c>
      <c r="D38" s="101">
        <v>7177558.7745535988</v>
      </c>
      <c r="E38" s="101">
        <v>5204950.8253552001</v>
      </c>
      <c r="F38" s="101">
        <v>3095784.3335535997</v>
      </c>
      <c r="G38" s="363">
        <f>C38/(C22+0.5*C28)</f>
        <v>3.6520676496963472E-2</v>
      </c>
      <c r="H38" s="363">
        <f t="shared" ref="H38:J38" si="10">D38/(D22+0.5*D28)</f>
        <v>3.2335029257245428E-2</v>
      </c>
      <c r="I38" s="363">
        <f t="shared" si="10"/>
        <v>3.7153721017469651E-2</v>
      </c>
      <c r="J38" s="363">
        <f t="shared" si="10"/>
        <v>2.8723114378061448E-2</v>
      </c>
    </row>
    <row r="39" spans="2:10" x14ac:dyDescent="0.3">
      <c r="B39" s="221" t="s">
        <v>802</v>
      </c>
      <c r="C39" s="101">
        <v>2001418.1975341295</v>
      </c>
      <c r="D39" s="101">
        <v>1670302.0955347051</v>
      </c>
      <c r="E39" s="101">
        <v>1052462.307604129</v>
      </c>
      <c r="F39" s="101">
        <v>721346.20560470445</v>
      </c>
      <c r="G39" s="363">
        <f>C39/(C22+0.5*C28)</f>
        <v>7.8707127034422196E-3</v>
      </c>
      <c r="H39" s="363">
        <f t="shared" ref="H39:J39" si="11">D39/(D22+0.5*D28)</f>
        <v>7.5247404896258887E-3</v>
      </c>
      <c r="I39" s="363">
        <f t="shared" si="11"/>
        <v>7.5126340805453523E-3</v>
      </c>
      <c r="J39" s="363">
        <f t="shared" si="11"/>
        <v>6.6927496677332173E-3</v>
      </c>
    </row>
    <row r="40" spans="2:10" x14ac:dyDescent="0.3">
      <c r="B40" s="86" t="s">
        <v>1010</v>
      </c>
      <c r="G40" s="364" t="s">
        <v>1073</v>
      </c>
      <c r="H40" s="364"/>
      <c r="I40" s="364"/>
      <c r="J40" s="364"/>
    </row>
    <row r="41" spans="2:10" x14ac:dyDescent="0.3">
      <c r="B41" s="221" t="s">
        <v>976</v>
      </c>
      <c r="C41" s="101">
        <v>28640535.2247</v>
      </c>
      <c r="D41" s="101">
        <v>28640535.2247</v>
      </c>
      <c r="E41" s="101">
        <v>12644387.189199999</v>
      </c>
      <c r="F41" s="101">
        <v>12644387.189199999</v>
      </c>
      <c r="G41" s="364">
        <f>C41/C22</f>
        <v>0.21208374326069107</v>
      </c>
      <c r="H41" s="364">
        <f t="shared" ref="H41:J41" si="12">D41/D22</f>
        <v>0.27879033367775885</v>
      </c>
      <c r="I41" s="364">
        <f t="shared" si="12"/>
        <v>0.13165268400408481</v>
      </c>
      <c r="J41" s="364">
        <f t="shared" si="12"/>
        <v>0.19840105927607168</v>
      </c>
    </row>
    <row r="42" spans="2:10" x14ac:dyDescent="0.3">
      <c r="B42" s="221" t="s">
        <v>806</v>
      </c>
      <c r="C42" s="101">
        <v>16329721.698000003</v>
      </c>
      <c r="D42" s="101">
        <v>16329721.698000003</v>
      </c>
      <c r="E42" s="101">
        <v>7208784.1280000014</v>
      </c>
      <c r="F42" s="101">
        <v>7208784.1280000014</v>
      </c>
      <c r="G42" s="364">
        <f>C42/C22</f>
        <v>0.12092191982258758</v>
      </c>
      <c r="H42" s="364">
        <f t="shared" ref="H42:J42" si="13">D42/D22</f>
        <v>0.15895542891685072</v>
      </c>
      <c r="I42" s="364">
        <f t="shared" si="13"/>
        <v>7.5057475277874042E-2</v>
      </c>
      <c r="J42" s="364">
        <f t="shared" si="13"/>
        <v>0.11311188005294091</v>
      </c>
    </row>
    <row r="43" spans="2:10" x14ac:dyDescent="0.3">
      <c r="B43" s="221" t="s">
        <v>807</v>
      </c>
      <c r="C43" s="101">
        <v>7290032.8355999989</v>
      </c>
      <c r="D43" s="101">
        <v>7290032.8355999989</v>
      </c>
      <c r="E43" s="101">
        <v>3208258.3945999993</v>
      </c>
      <c r="F43" s="101">
        <v>3208258.3945999993</v>
      </c>
      <c r="G43" s="364">
        <f>C43/C22</f>
        <v>5.3982840758297762E-2</v>
      </c>
      <c r="H43" s="364">
        <f t="shared" ref="H43:J43" si="14">D43/D22</f>
        <v>7.0962035828366091E-2</v>
      </c>
      <c r="I43" s="364">
        <f t="shared" si="14"/>
        <v>3.3404215032935065E-2</v>
      </c>
      <c r="J43" s="364">
        <f t="shared" si="14"/>
        <v>5.0340269907557404E-2</v>
      </c>
    </row>
    <row r="44" spans="2:10" x14ac:dyDescent="0.3">
      <c r="B44" s="221" t="s">
        <v>808</v>
      </c>
      <c r="C44" s="101">
        <v>1755492.592350001</v>
      </c>
      <c r="D44" s="101">
        <v>1755492.592350001</v>
      </c>
      <c r="E44" s="101">
        <v>806536.70242000045</v>
      </c>
      <c r="F44" s="101">
        <v>806536.70242000045</v>
      </c>
      <c r="G44" s="364">
        <f>C44/C22</f>
        <v>1.2999458192070238E-2</v>
      </c>
      <c r="H44" s="364">
        <f t="shared" ref="H44:J44" si="15">D44/D22</f>
        <v>1.7088171074680646E-2</v>
      </c>
      <c r="I44" s="364">
        <f t="shared" si="15"/>
        <v>8.3976170638060798E-3</v>
      </c>
      <c r="J44" s="364">
        <f t="shared" si="15"/>
        <v>1.2655238542666147E-2</v>
      </c>
    </row>
    <row r="45" spans="2:10" x14ac:dyDescent="0.3">
      <c r="B45" s="86"/>
    </row>
    <row r="46" spans="2:10" x14ac:dyDescent="0.3">
      <c r="C46" s="101"/>
      <c r="D46" s="101"/>
      <c r="E46" s="101"/>
      <c r="F46" s="101"/>
    </row>
    <row r="48" spans="2:10" x14ac:dyDescent="0.3">
      <c r="B48" s="86" t="s">
        <v>818</v>
      </c>
    </row>
    <row r="49" spans="2:11" ht="57.6" x14ac:dyDescent="0.3">
      <c r="C49" s="176" t="s">
        <v>1082</v>
      </c>
      <c r="D49" s="176" t="s">
        <v>1083</v>
      </c>
      <c r="E49" s="176" t="s">
        <v>1084</v>
      </c>
      <c r="F49" s="176" t="s">
        <v>1085</v>
      </c>
    </row>
    <row r="50" spans="2:11" x14ac:dyDescent="0.3">
      <c r="B50" s="221" t="s">
        <v>743</v>
      </c>
      <c r="C50" s="2">
        <v>100</v>
      </c>
      <c r="D50" s="2">
        <v>100</v>
      </c>
      <c r="E50" s="2">
        <v>100</v>
      </c>
      <c r="F50" s="2">
        <v>100</v>
      </c>
      <c r="G50" s="103" t="s">
        <v>819</v>
      </c>
    </row>
    <row r="51" spans="2:11" x14ac:dyDescent="0.3">
      <c r="B51" s="221" t="s">
        <v>745</v>
      </c>
      <c r="C51" s="2" t="s">
        <v>883</v>
      </c>
      <c r="D51" s="2" t="s">
        <v>883</v>
      </c>
      <c r="E51" s="2" t="s">
        <v>883</v>
      </c>
      <c r="F51" s="2" t="s">
        <v>883</v>
      </c>
    </row>
    <row r="52" spans="2:11" x14ac:dyDescent="0.3">
      <c r="B52" s="221" t="s">
        <v>756</v>
      </c>
      <c r="C52" s="2" t="s">
        <v>885</v>
      </c>
      <c r="D52" s="2" t="s">
        <v>885</v>
      </c>
      <c r="E52" s="2" t="s">
        <v>885</v>
      </c>
      <c r="F52" s="2" t="s">
        <v>885</v>
      </c>
    </row>
    <row r="53" spans="2:11" x14ac:dyDescent="0.3">
      <c r="B53" s="221" t="s">
        <v>755</v>
      </c>
      <c r="C53" s="221">
        <v>660</v>
      </c>
      <c r="D53" s="221">
        <v>660</v>
      </c>
      <c r="E53" s="221">
        <v>660</v>
      </c>
      <c r="F53" s="221">
        <v>660</v>
      </c>
    </row>
    <row r="54" spans="2:11" x14ac:dyDescent="0.3">
      <c r="B54" s="221" t="s">
        <v>760</v>
      </c>
      <c r="C54" s="221">
        <v>99</v>
      </c>
      <c r="D54" s="221">
        <v>1</v>
      </c>
      <c r="E54" s="221">
        <v>99</v>
      </c>
      <c r="F54" s="221">
        <v>1</v>
      </c>
    </row>
    <row r="55" spans="2:11" x14ac:dyDescent="0.3">
      <c r="B55" s="221" t="s">
        <v>761</v>
      </c>
      <c r="C55" s="221">
        <v>5</v>
      </c>
      <c r="D55" s="221">
        <v>2E-3</v>
      </c>
      <c r="E55" s="221">
        <v>5</v>
      </c>
      <c r="F55" s="221">
        <v>2E-3</v>
      </c>
      <c r="G55" s="221" t="s">
        <v>820</v>
      </c>
    </row>
    <row r="57" spans="2:11" x14ac:dyDescent="0.3">
      <c r="H57" s="156" t="s">
        <v>1068</v>
      </c>
      <c r="I57" s="156"/>
      <c r="J57" s="156"/>
      <c r="K57" s="156"/>
    </row>
    <row r="58" spans="2:11" x14ac:dyDescent="0.3">
      <c r="B58" s="221" t="s">
        <v>909</v>
      </c>
      <c r="C58" s="101">
        <v>64650000.000000007</v>
      </c>
      <c r="D58" s="101">
        <v>32337930</v>
      </c>
      <c r="E58" s="101">
        <v>64650000.000000007</v>
      </c>
      <c r="F58" s="101">
        <v>32337930</v>
      </c>
      <c r="H58" s="156">
        <f>C58/$C$61</f>
        <v>0.69578364110783686</v>
      </c>
      <c r="I58" s="156">
        <f>D58/$D$61</f>
        <v>0.5335874260882133</v>
      </c>
      <c r="J58" s="156">
        <f>E58/$E$61</f>
        <v>0.78101579341747862</v>
      </c>
      <c r="K58" s="156">
        <f>F58/$F$61</f>
        <v>0.64080240317947745</v>
      </c>
    </row>
    <row r="59" spans="2:11" x14ac:dyDescent="0.3">
      <c r="B59" s="221" t="s">
        <v>910</v>
      </c>
      <c r="C59" s="101">
        <v>3143015.2</v>
      </c>
      <c r="D59" s="101">
        <v>3143015.2</v>
      </c>
      <c r="E59" s="101">
        <v>3143015.2</v>
      </c>
      <c r="F59" s="101">
        <v>3143015.2</v>
      </c>
      <c r="H59" s="156">
        <f t="shared" ref="H59:H60" si="16">C59/$C$61</f>
        <v>3.3826118482803959E-2</v>
      </c>
      <c r="I59" s="156">
        <f t="shared" ref="I59:I60" si="17">D59/$D$61</f>
        <v>5.1860876398833536E-2</v>
      </c>
      <c r="J59" s="156">
        <f t="shared" ref="J59:J60" si="18">E59/$E$61</f>
        <v>3.796975267055213E-2</v>
      </c>
      <c r="K59" s="156">
        <f t="shared" ref="K59:K60" si="19">F59/$F$61</f>
        <v>6.2281404325806443E-2</v>
      </c>
    </row>
    <row r="60" spans="2:11" x14ac:dyDescent="0.3">
      <c r="B60" s="8" t="s">
        <v>911</v>
      </c>
      <c r="C60" s="170">
        <v>25123800</v>
      </c>
      <c r="D60" s="170">
        <v>25123800</v>
      </c>
      <c r="E60" s="170">
        <v>14983800</v>
      </c>
      <c r="F60" s="170">
        <v>14983800</v>
      </c>
      <c r="H60" s="156">
        <f t="shared" si="16"/>
        <v>0.27039024040935916</v>
      </c>
      <c r="I60" s="156">
        <f t="shared" si="17"/>
        <v>0.41455169751295312</v>
      </c>
      <c r="J60" s="156">
        <f t="shared" si="18"/>
        <v>0.1810144539119693</v>
      </c>
      <c r="K60" s="156">
        <f t="shared" si="19"/>
        <v>0.29691619249471607</v>
      </c>
    </row>
    <row r="61" spans="2:11" x14ac:dyDescent="0.3">
      <c r="B61" s="146" t="s">
        <v>817</v>
      </c>
      <c r="C61" s="171">
        <v>92916815.200000003</v>
      </c>
      <c r="D61" s="171">
        <v>60604745.200000003</v>
      </c>
      <c r="E61" s="171">
        <v>82776815.200000003</v>
      </c>
      <c r="F61" s="171">
        <v>50464745.200000003</v>
      </c>
    </row>
    <row r="67" spans="2:38" x14ac:dyDescent="0.3">
      <c r="J67" s="86" t="s">
        <v>836</v>
      </c>
    </row>
    <row r="68" spans="2:38" x14ac:dyDescent="0.3">
      <c r="I68" s="221" t="s">
        <v>1012</v>
      </c>
      <c r="J68" s="86" t="s">
        <v>1013</v>
      </c>
    </row>
    <row r="69" spans="2:38" x14ac:dyDescent="0.3">
      <c r="I69" s="186" t="s">
        <v>983</v>
      </c>
      <c r="J69" s="175">
        <v>63989731.0634</v>
      </c>
      <c r="K69" s="175">
        <v>56312383.231399998</v>
      </c>
      <c r="L69" s="175">
        <v>31997434.992399998</v>
      </c>
      <c r="M69" s="175">
        <v>24320087.160399999</v>
      </c>
    </row>
    <row r="70" spans="2:38" x14ac:dyDescent="0.3">
      <c r="I70" s="186" t="s">
        <v>833</v>
      </c>
      <c r="J70" s="175">
        <v>36775184.579600006</v>
      </c>
      <c r="K70" s="175">
        <v>32256664.710800007</v>
      </c>
      <c r="L70" s="175">
        <v>18533309.439600006</v>
      </c>
      <c r="M70" s="175">
        <v>14014789.570800003</v>
      </c>
      <c r="T70" s="221">
        <v>4633</v>
      </c>
      <c r="Y70" s="221">
        <v>4633</v>
      </c>
      <c r="AD70" s="221" t="s">
        <v>1041</v>
      </c>
    </row>
    <row r="71" spans="2:38" x14ac:dyDescent="0.3">
      <c r="E71" s="255" t="s">
        <v>832</v>
      </c>
      <c r="F71" s="255"/>
      <c r="G71" s="255"/>
      <c r="H71" s="255"/>
      <c r="I71" s="186" t="s">
        <v>834</v>
      </c>
      <c r="J71" s="175">
        <v>16576758.101955198</v>
      </c>
      <c r="K71" s="175">
        <v>14467591.610153597</v>
      </c>
      <c r="L71" s="175">
        <v>8413209.2199551985</v>
      </c>
      <c r="M71" s="175">
        <v>6304042.7281535994</v>
      </c>
      <c r="O71" s="86" t="s">
        <v>836</v>
      </c>
      <c r="T71" s="86" t="s">
        <v>912</v>
      </c>
      <c r="AD71" s="221" t="s">
        <v>1016</v>
      </c>
      <c r="AI71" s="221" t="s">
        <v>1017</v>
      </c>
    </row>
    <row r="72" spans="2:38" x14ac:dyDescent="0.3">
      <c r="E72" s="175">
        <v>373530042</v>
      </c>
      <c r="F72" s="175">
        <v>341217972</v>
      </c>
      <c r="G72" s="175">
        <v>184141112</v>
      </c>
      <c r="H72" s="175">
        <v>151829042</v>
      </c>
      <c r="I72" s="186" t="s">
        <v>835</v>
      </c>
      <c r="J72" s="175">
        <v>3756910.7898841305</v>
      </c>
      <c r="K72" s="175">
        <v>3425794.6878847061</v>
      </c>
      <c r="L72" s="175">
        <v>1858999.0100241294</v>
      </c>
      <c r="M72" s="175">
        <v>1527882.908024705</v>
      </c>
      <c r="O72" s="256" t="s">
        <v>1014</v>
      </c>
      <c r="P72" s="256"/>
      <c r="Q72" s="256"/>
      <c r="R72" s="256"/>
      <c r="T72" s="221" t="s">
        <v>944</v>
      </c>
      <c r="Y72" s="221" t="s">
        <v>943</v>
      </c>
      <c r="AD72" s="221" t="s">
        <v>947</v>
      </c>
      <c r="AI72" s="221" t="s">
        <v>947</v>
      </c>
    </row>
    <row r="73" spans="2:38" ht="28.8" x14ac:dyDescent="0.3">
      <c r="B73" s="176" t="s">
        <v>821</v>
      </c>
      <c r="C73" s="176" t="s">
        <v>822</v>
      </c>
      <c r="D73" s="176" t="s">
        <v>823</v>
      </c>
      <c r="E73" s="181" t="s">
        <v>826</v>
      </c>
      <c r="F73" s="181" t="s">
        <v>827</v>
      </c>
      <c r="G73" s="181" t="s">
        <v>828</v>
      </c>
      <c r="H73" s="181" t="s">
        <v>829</v>
      </c>
      <c r="I73" s="189" t="s">
        <v>837</v>
      </c>
      <c r="J73" s="188" t="s">
        <v>826</v>
      </c>
      <c r="K73" s="188" t="s">
        <v>827</v>
      </c>
      <c r="L73" s="188" t="s">
        <v>828</v>
      </c>
      <c r="M73" s="188" t="s">
        <v>829</v>
      </c>
      <c r="N73" s="8"/>
      <c r="O73" s="188" t="s">
        <v>826</v>
      </c>
      <c r="P73" s="188" t="s">
        <v>827</v>
      </c>
      <c r="Q73" s="188" t="s">
        <v>828</v>
      </c>
      <c r="R73" s="188" t="s">
        <v>829</v>
      </c>
      <c r="S73" s="8"/>
      <c r="T73" s="170">
        <f>4633+21893.5245815</f>
        <v>26526.524581500002</v>
      </c>
      <c r="U73" s="170">
        <f>4633+14279.99308775</f>
        <v>18912.993087750001</v>
      </c>
      <c r="V73" s="170">
        <f>4633+19504.2870815</f>
        <v>24137.287081499999</v>
      </c>
      <c r="W73" s="170">
        <f>4633+11890.75558775</f>
        <v>16523.755587749998</v>
      </c>
      <c r="X73" s="8"/>
      <c r="Y73" s="170">
        <f>4633+44658.1443055</f>
        <v>49291.144305499998</v>
      </c>
      <c r="Z73" s="170">
        <f>4633+29128.15566175</f>
        <v>33761.155661750003</v>
      </c>
      <c r="AA73" s="170">
        <f>4633+39784.6068055</f>
        <v>44417.6068055</v>
      </c>
      <c r="AB73" s="170">
        <f>4633+24254.61816175</f>
        <v>28887.618161750001</v>
      </c>
      <c r="AC73" s="8"/>
      <c r="AD73" s="170">
        <f>Y73*15+0.44*(4000000/0.905+E93+T73)</f>
        <v>2699405.9874203894</v>
      </c>
      <c r="AE73" s="170">
        <f>Z73*15+0.44*(4000000/0.905+F93+U73)</f>
        <v>2462793.4230692894</v>
      </c>
      <c r="AF73" s="170">
        <f>AA73*15+0.44*(4000000/0.905+G93+V73)</f>
        <v>2623418.375577989</v>
      </c>
      <c r="AG73" s="170">
        <f>AB73*15+0.44*(4000000/0.905+H93+W73)</f>
        <v>2386805.8112268895</v>
      </c>
      <c r="AI73" s="170">
        <f>Y73*15+0.44*(1000000/0.905+E93+T73)</f>
        <v>1240842.4515087875</v>
      </c>
      <c r="AJ73" s="170">
        <f>Z73*15+0.44*(1000000/0.905+F93+U73)</f>
        <v>1004229.8871576875</v>
      </c>
      <c r="AK73" s="170">
        <f>AA73*15+0.44*(1000000/0.905+G93+V73)</f>
        <v>1164854.8396663875</v>
      </c>
      <c r="AL73" s="170">
        <f>AB73*15+0.44*(1000000/0.905+H93+W73)</f>
        <v>928242.27531528729</v>
      </c>
    </row>
    <row r="74" spans="2:38" x14ac:dyDescent="0.3">
      <c r="B74" s="225"/>
      <c r="C74" s="225"/>
      <c r="D74" s="225"/>
      <c r="E74" s="181"/>
      <c r="F74" s="181"/>
      <c r="G74" s="181"/>
      <c r="H74" s="181"/>
      <c r="I74" s="145" t="s">
        <v>976</v>
      </c>
      <c r="J74" s="235">
        <f>J69*$D$75</f>
        <v>63989731.0634</v>
      </c>
      <c r="K74" s="235">
        <f t="shared" ref="K74:M74" si="20">K69*$D$75</f>
        <v>56312383.231399998</v>
      </c>
      <c r="L74" s="235">
        <f t="shared" si="20"/>
        <v>31997434.992399998</v>
      </c>
      <c r="M74" s="235">
        <f t="shared" si="20"/>
        <v>24320087.160399999</v>
      </c>
      <c r="N74" s="207"/>
      <c r="O74" s="182">
        <f>E$76-J74</f>
        <v>309540310.93659997</v>
      </c>
      <c r="P74" s="182">
        <f t="shared" ref="P74:R77" si="21">F$76-K74</f>
        <v>284905588.76859999</v>
      </c>
      <c r="Q74" s="182">
        <f t="shared" si="21"/>
        <v>152143677.00760001</v>
      </c>
      <c r="R74" s="182">
        <f t="shared" si="21"/>
        <v>127508954.8396</v>
      </c>
      <c r="S74" s="207"/>
      <c r="T74" s="182">
        <f>O74-T$73</f>
        <v>309513784.41201848</v>
      </c>
      <c r="U74" s="182">
        <f t="shared" ref="U74:W89" si="22">P74-U$73</f>
        <v>284886675.77551222</v>
      </c>
      <c r="V74" s="182">
        <f t="shared" si="22"/>
        <v>152119539.7205185</v>
      </c>
      <c r="W74" s="182">
        <f t="shared" si="22"/>
        <v>127492431.08401224</v>
      </c>
      <c r="X74" s="207"/>
      <c r="Y74" s="182">
        <f>O74-Y$73</f>
        <v>309491019.79229444</v>
      </c>
      <c r="Z74" s="182">
        <f t="shared" ref="Z74:AB89" si="23">P74-Z$73</f>
        <v>284871827.61293823</v>
      </c>
      <c r="AA74" s="182">
        <f t="shared" si="23"/>
        <v>152099259.40079451</v>
      </c>
      <c r="AB74" s="182">
        <f t="shared" si="23"/>
        <v>127480067.22143824</v>
      </c>
      <c r="AC74" s="207"/>
      <c r="AD74" s="182">
        <f>O74-AD$73</f>
        <v>306840904.94917959</v>
      </c>
      <c r="AE74" s="182">
        <f t="shared" ref="AE74:AG89" si="24">P74-AE$73</f>
        <v>282442795.34553069</v>
      </c>
      <c r="AF74" s="182">
        <f t="shared" si="24"/>
        <v>149520258.63202202</v>
      </c>
      <c r="AG74" s="182">
        <f t="shared" si="24"/>
        <v>125122149.02837311</v>
      </c>
      <c r="AI74" s="182">
        <f>O74-AI$73</f>
        <v>308299468.48509121</v>
      </c>
      <c r="AJ74" s="182">
        <f t="shared" ref="AJ74:AL89" si="25">P74-AJ$73</f>
        <v>283901358.88144231</v>
      </c>
      <c r="AK74" s="182">
        <f t="shared" si="25"/>
        <v>150978822.16793361</v>
      </c>
      <c r="AL74" s="182">
        <f t="shared" si="25"/>
        <v>126580712.56428471</v>
      </c>
    </row>
    <row r="75" spans="2:38" x14ac:dyDescent="0.3">
      <c r="B75" s="222" t="s">
        <v>824</v>
      </c>
      <c r="C75" s="179">
        <v>1</v>
      </c>
      <c r="D75" s="179">
        <v>1</v>
      </c>
      <c r="I75" s="221" t="s">
        <v>833</v>
      </c>
      <c r="J75" s="235">
        <f t="shared" ref="J75:M77" si="26">J70*$D$75</f>
        <v>36775184.579600006</v>
      </c>
      <c r="K75" s="235">
        <f t="shared" si="26"/>
        <v>32256664.710800007</v>
      </c>
      <c r="L75" s="235">
        <f t="shared" si="26"/>
        <v>18533309.439600006</v>
      </c>
      <c r="M75" s="235">
        <f t="shared" si="26"/>
        <v>14014789.570800003</v>
      </c>
      <c r="O75" s="182">
        <f>E$76-J75</f>
        <v>336754857.42040002</v>
      </c>
      <c r="P75" s="182">
        <f t="shared" si="21"/>
        <v>308961307.28920001</v>
      </c>
      <c r="Q75" s="182">
        <f t="shared" si="21"/>
        <v>165607802.56040001</v>
      </c>
      <c r="R75" s="182">
        <f t="shared" si="21"/>
        <v>137814252.42919999</v>
      </c>
      <c r="T75" s="182">
        <f>O75-T$73</f>
        <v>336728330.89581853</v>
      </c>
      <c r="U75" s="182">
        <f t="shared" si="22"/>
        <v>308942394.29611224</v>
      </c>
      <c r="V75" s="182">
        <f t="shared" si="22"/>
        <v>165583665.2733185</v>
      </c>
      <c r="W75" s="182">
        <f t="shared" si="22"/>
        <v>137797728.67361224</v>
      </c>
      <c r="Y75" s="182">
        <f>O75-Y$73</f>
        <v>336705566.2760945</v>
      </c>
      <c r="Z75" s="182">
        <f t="shared" si="23"/>
        <v>308927546.13353825</v>
      </c>
      <c r="AA75" s="182">
        <f t="shared" si="23"/>
        <v>165563384.95359451</v>
      </c>
      <c r="AB75" s="182">
        <f t="shared" si="23"/>
        <v>137785364.81103826</v>
      </c>
      <c r="AD75" s="182">
        <f>O75-AD$73</f>
        <v>334055451.43297964</v>
      </c>
      <c r="AE75" s="182">
        <f t="shared" si="24"/>
        <v>306498513.86613071</v>
      </c>
      <c r="AF75" s="182">
        <f t="shared" si="24"/>
        <v>162984384.18482202</v>
      </c>
      <c r="AG75" s="182">
        <f t="shared" si="24"/>
        <v>135427446.61797309</v>
      </c>
      <c r="AI75" s="182">
        <f t="shared" ref="AI75:AL97" si="27">O75-AI$73</f>
        <v>335514014.96889126</v>
      </c>
      <c r="AJ75" s="182">
        <f t="shared" si="25"/>
        <v>307957077.40204233</v>
      </c>
      <c r="AK75" s="182">
        <f t="shared" si="25"/>
        <v>164442947.72073361</v>
      </c>
      <c r="AL75" s="182">
        <f t="shared" si="25"/>
        <v>136886010.15388471</v>
      </c>
    </row>
    <row r="76" spans="2:38" x14ac:dyDescent="0.3">
      <c r="B76" s="222"/>
      <c r="C76" s="179"/>
      <c r="D76" s="179" t="s">
        <v>830</v>
      </c>
      <c r="E76" s="182">
        <f>E72*$D75</f>
        <v>373530042</v>
      </c>
      <c r="F76" s="182">
        <f t="shared" ref="F76:H76" si="28">F72*$D75</f>
        <v>341217972</v>
      </c>
      <c r="G76" s="182">
        <f t="shared" si="28"/>
        <v>184141112</v>
      </c>
      <c r="H76" s="195">
        <f t="shared" si="28"/>
        <v>151829042</v>
      </c>
      <c r="I76" s="221" t="s">
        <v>834</v>
      </c>
      <c r="J76" s="235">
        <f t="shared" si="26"/>
        <v>16576758.101955198</v>
      </c>
      <c r="K76" s="235">
        <f t="shared" si="26"/>
        <v>14467591.610153597</v>
      </c>
      <c r="L76" s="235">
        <f t="shared" si="26"/>
        <v>8413209.2199551985</v>
      </c>
      <c r="M76" s="235">
        <f t="shared" si="26"/>
        <v>6304042.7281535994</v>
      </c>
      <c r="O76" s="182">
        <f t="shared" ref="O76:O77" si="29">E$76-J76</f>
        <v>356953283.89804482</v>
      </c>
      <c r="P76" s="182">
        <f t="shared" si="21"/>
        <v>326750380.38984638</v>
      </c>
      <c r="Q76" s="182">
        <f t="shared" si="21"/>
        <v>175727902.78004479</v>
      </c>
      <c r="R76" s="182">
        <f t="shared" si="21"/>
        <v>145524999.27184641</v>
      </c>
      <c r="T76" s="182">
        <f t="shared" ref="T76:W97" si="30">O76-T$73</f>
        <v>356926757.37346333</v>
      </c>
      <c r="U76" s="182">
        <f t="shared" si="22"/>
        <v>326731467.39675862</v>
      </c>
      <c r="V76" s="182">
        <f t="shared" si="22"/>
        <v>175703765.49296328</v>
      </c>
      <c r="W76" s="182">
        <f t="shared" si="22"/>
        <v>145508475.51625866</v>
      </c>
      <c r="Y76" s="182">
        <f t="shared" ref="Y76:AB97" si="31">O76-Y$73</f>
        <v>356903992.7537393</v>
      </c>
      <c r="Z76" s="182">
        <f t="shared" si="23"/>
        <v>326716619.23418462</v>
      </c>
      <c r="AA76" s="182">
        <f t="shared" si="23"/>
        <v>175683485.17323929</v>
      </c>
      <c r="AB76" s="182">
        <f t="shared" si="23"/>
        <v>145496111.65368468</v>
      </c>
      <c r="AD76" s="182">
        <f t="shared" ref="AD76:AG97" si="32">O76-AD$73</f>
        <v>354253877.91062444</v>
      </c>
      <c r="AE76" s="182">
        <f t="shared" si="24"/>
        <v>324287586.96677709</v>
      </c>
      <c r="AF76" s="182">
        <f t="shared" si="24"/>
        <v>173104484.40446681</v>
      </c>
      <c r="AG76" s="182">
        <f t="shared" si="24"/>
        <v>143138193.46061951</v>
      </c>
      <c r="AI76" s="182">
        <f t="shared" si="27"/>
        <v>355712441.44653606</v>
      </c>
      <c r="AJ76" s="182">
        <f t="shared" si="25"/>
        <v>325746150.50268871</v>
      </c>
      <c r="AK76" s="182">
        <f t="shared" si="25"/>
        <v>174563047.9403784</v>
      </c>
      <c r="AL76" s="182">
        <f t="shared" si="25"/>
        <v>144596756.99653113</v>
      </c>
    </row>
    <row r="77" spans="2:38" x14ac:dyDescent="0.3">
      <c r="B77" s="222"/>
      <c r="C77" s="179"/>
      <c r="D77" s="179" t="s">
        <v>831</v>
      </c>
      <c r="E77" s="182">
        <f>E72*$C$75</f>
        <v>373530042</v>
      </c>
      <c r="F77" s="182">
        <f t="shared" ref="F77:H77" si="33">F72*$C$75</f>
        <v>341217972</v>
      </c>
      <c r="G77" s="182">
        <f t="shared" si="33"/>
        <v>184141112</v>
      </c>
      <c r="H77" s="195">
        <f t="shared" si="33"/>
        <v>151829042</v>
      </c>
      <c r="I77" s="8" t="s">
        <v>835</v>
      </c>
      <c r="J77" s="236">
        <f t="shared" si="26"/>
        <v>3756910.7898841305</v>
      </c>
      <c r="K77" s="236">
        <f t="shared" si="26"/>
        <v>3425794.6878847061</v>
      </c>
      <c r="L77" s="236">
        <f t="shared" si="26"/>
        <v>1858999.0100241294</v>
      </c>
      <c r="M77" s="236">
        <f t="shared" si="26"/>
        <v>1527882.908024705</v>
      </c>
      <c r="N77" s="8"/>
      <c r="O77" s="194">
        <f t="shared" si="29"/>
        <v>369773131.21011585</v>
      </c>
      <c r="P77" s="194">
        <f t="shared" si="21"/>
        <v>337792177.31211531</v>
      </c>
      <c r="Q77" s="194">
        <f t="shared" si="21"/>
        <v>182282112.98997587</v>
      </c>
      <c r="R77" s="194">
        <f t="shared" si="21"/>
        <v>150301159.0919753</v>
      </c>
      <c r="S77" s="8"/>
      <c r="T77" s="194">
        <f t="shared" si="30"/>
        <v>369746604.68553436</v>
      </c>
      <c r="U77" s="194">
        <f t="shared" si="22"/>
        <v>337773264.31902754</v>
      </c>
      <c r="V77" s="194">
        <f t="shared" si="22"/>
        <v>182257975.70289436</v>
      </c>
      <c r="W77" s="194">
        <f t="shared" si="22"/>
        <v>150284635.33638754</v>
      </c>
      <c r="X77" s="8"/>
      <c r="Y77" s="194">
        <f t="shared" si="31"/>
        <v>369723840.06581032</v>
      </c>
      <c r="Z77" s="194">
        <f t="shared" si="23"/>
        <v>337758416.15645355</v>
      </c>
      <c r="AA77" s="194">
        <f t="shared" si="23"/>
        <v>182237695.38317037</v>
      </c>
      <c r="AB77" s="194">
        <f t="shared" si="23"/>
        <v>150272271.47381356</v>
      </c>
      <c r="AC77" s="8"/>
      <c r="AD77" s="194">
        <f t="shared" si="32"/>
        <v>367073725.22269547</v>
      </c>
      <c r="AE77" s="194">
        <f t="shared" si="24"/>
        <v>335329383.88904601</v>
      </c>
      <c r="AF77" s="194">
        <f t="shared" si="24"/>
        <v>179658694.61439788</v>
      </c>
      <c r="AG77" s="194">
        <f t="shared" si="24"/>
        <v>147914353.28074843</v>
      </c>
      <c r="AI77" s="194">
        <f t="shared" si="27"/>
        <v>368532288.75860709</v>
      </c>
      <c r="AJ77" s="194">
        <f t="shared" si="25"/>
        <v>336787947.42495763</v>
      </c>
      <c r="AK77" s="194">
        <f t="shared" si="25"/>
        <v>181117258.15030947</v>
      </c>
      <c r="AL77" s="194">
        <f t="shared" si="25"/>
        <v>149372916.81666002</v>
      </c>
    </row>
    <row r="78" spans="2:38" x14ac:dyDescent="0.3">
      <c r="B78" s="222"/>
      <c r="C78" s="179"/>
      <c r="D78" s="179"/>
      <c r="E78" s="182"/>
      <c r="F78" s="182"/>
      <c r="G78" s="182"/>
      <c r="H78" s="195"/>
      <c r="I78" s="145" t="s">
        <v>976</v>
      </c>
      <c r="J78" s="208">
        <f>J69*$D$79</f>
        <v>29512831.843212843</v>
      </c>
      <c r="K78" s="208">
        <f t="shared" ref="K78:M81" si="34">K69*$D$79</f>
        <v>25971946.894920457</v>
      </c>
      <c r="L78" s="208">
        <f t="shared" si="34"/>
        <v>14757600.987714788</v>
      </c>
      <c r="M78" s="208">
        <f t="shared" si="34"/>
        <v>11216716.039422404</v>
      </c>
      <c r="N78" s="207"/>
      <c r="O78" s="182">
        <f>E$80-J78</f>
        <v>142763705.88769117</v>
      </c>
      <c r="P78" s="182">
        <f t="shared" ref="P78:R81" si="35">F$80-K78</f>
        <v>131401876.40714355</v>
      </c>
      <c r="Q78" s="182">
        <f t="shared" si="35"/>
        <v>70170489.560029224</v>
      </c>
      <c r="R78" s="182">
        <f t="shared" si="35"/>
        <v>58808660.079481587</v>
      </c>
      <c r="S78" s="207"/>
      <c r="T78" s="182">
        <f t="shared" si="30"/>
        <v>142737179.36310968</v>
      </c>
      <c r="U78" s="182">
        <f t="shared" si="22"/>
        <v>131382963.41405579</v>
      </c>
      <c r="V78" s="182">
        <f t="shared" si="22"/>
        <v>70146352.272947729</v>
      </c>
      <c r="W78" s="182">
        <f t="shared" si="22"/>
        <v>58792136.323893838</v>
      </c>
      <c r="X78" s="207"/>
      <c r="Y78" s="182">
        <f t="shared" si="31"/>
        <v>142714414.74338567</v>
      </c>
      <c r="Z78" s="182">
        <f t="shared" si="23"/>
        <v>131368115.2514818</v>
      </c>
      <c r="AA78" s="182">
        <f t="shared" si="23"/>
        <v>70126071.95322372</v>
      </c>
      <c r="AB78" s="182">
        <f t="shared" si="23"/>
        <v>58779772.461319834</v>
      </c>
      <c r="AC78" s="207"/>
      <c r="AD78" s="182">
        <f t="shared" si="32"/>
        <v>140064299.90027079</v>
      </c>
      <c r="AE78" s="182">
        <f t="shared" si="24"/>
        <v>128939082.98407426</v>
      </c>
      <c r="AF78" s="182">
        <f t="shared" si="24"/>
        <v>67547071.184451237</v>
      </c>
      <c r="AG78" s="182">
        <f t="shared" si="24"/>
        <v>56421854.268254697</v>
      </c>
      <c r="AI78" s="182">
        <f t="shared" si="27"/>
        <v>141522863.43618238</v>
      </c>
      <c r="AJ78" s="182">
        <f t="shared" si="25"/>
        <v>130397646.51998585</v>
      </c>
      <c r="AK78" s="182">
        <f t="shared" si="25"/>
        <v>69005634.720362842</v>
      </c>
      <c r="AL78" s="182">
        <f t="shared" si="25"/>
        <v>57880417.804166302</v>
      </c>
    </row>
    <row r="79" spans="2:38" x14ac:dyDescent="0.3">
      <c r="B79" s="222" t="s">
        <v>891</v>
      </c>
      <c r="C79" s="180">
        <v>9.7420000000000007E-3</v>
      </c>
      <c r="D79" s="180">
        <v>0.46121200000000001</v>
      </c>
      <c r="I79" s="221" t="s">
        <v>833</v>
      </c>
      <c r="J79" s="101">
        <f>J70*$D$79</f>
        <v>16961156.430326477</v>
      </c>
      <c r="K79" s="101">
        <f t="shared" si="34"/>
        <v>14877160.844597492</v>
      </c>
      <c r="L79" s="101">
        <f t="shared" si="34"/>
        <v>8547784.7132567987</v>
      </c>
      <c r="M79" s="101">
        <f t="shared" si="34"/>
        <v>6463789.1275278106</v>
      </c>
      <c r="O79" s="182">
        <f>E$80-J79</f>
        <v>155315381.30057752</v>
      </c>
      <c r="P79" s="182">
        <f t="shared" si="35"/>
        <v>142496662.45746651</v>
      </c>
      <c r="Q79" s="182">
        <f t="shared" si="35"/>
        <v>76380305.8344872</v>
      </c>
      <c r="R79" s="182">
        <f t="shared" si="35"/>
        <v>63561586.991376184</v>
      </c>
      <c r="T79" s="182">
        <f t="shared" si="30"/>
        <v>155288854.77599603</v>
      </c>
      <c r="U79" s="182">
        <f t="shared" si="22"/>
        <v>142477749.46437877</v>
      </c>
      <c r="V79" s="182">
        <f t="shared" si="22"/>
        <v>76356168.547405705</v>
      </c>
      <c r="W79" s="182">
        <f t="shared" si="22"/>
        <v>63545063.235788435</v>
      </c>
      <c r="Y79" s="182">
        <f t="shared" si="31"/>
        <v>155266090.15627202</v>
      </c>
      <c r="Z79" s="182">
        <f t="shared" si="23"/>
        <v>142462901.30180475</v>
      </c>
      <c r="AA79" s="182">
        <f t="shared" si="23"/>
        <v>76335888.227681696</v>
      </c>
      <c r="AB79" s="182">
        <f t="shared" si="23"/>
        <v>63532699.373214431</v>
      </c>
      <c r="AD79" s="182">
        <f t="shared" si="32"/>
        <v>152615975.31315714</v>
      </c>
      <c r="AE79" s="182">
        <f t="shared" si="24"/>
        <v>140033869.03439721</v>
      </c>
      <c r="AF79" s="182">
        <f t="shared" si="24"/>
        <v>73756887.458909214</v>
      </c>
      <c r="AG79" s="182">
        <f t="shared" si="24"/>
        <v>61174781.180149294</v>
      </c>
      <c r="AI79" s="182">
        <f t="shared" si="27"/>
        <v>154074538.84906873</v>
      </c>
      <c r="AJ79" s="182">
        <f t="shared" si="25"/>
        <v>141492432.57030883</v>
      </c>
      <c r="AK79" s="182">
        <f t="shared" si="25"/>
        <v>75215450.994820818</v>
      </c>
      <c r="AL79" s="182">
        <f t="shared" si="25"/>
        <v>62633344.716060899</v>
      </c>
    </row>
    <row r="80" spans="2:38" x14ac:dyDescent="0.3">
      <c r="B80" s="222"/>
      <c r="C80" s="180"/>
      <c r="D80" s="179" t="s">
        <v>830</v>
      </c>
      <c r="E80" s="182">
        <f>E72*$D$79</f>
        <v>172276537.73090401</v>
      </c>
      <c r="F80" s="182">
        <f t="shared" ref="F80:H80" si="36">F72*$D$79</f>
        <v>157373823.302064</v>
      </c>
      <c r="G80" s="182">
        <f t="shared" si="36"/>
        <v>84928090.547744006</v>
      </c>
      <c r="H80" s="195">
        <f t="shared" si="36"/>
        <v>70025376.118903995</v>
      </c>
      <c r="I80" s="221" t="s">
        <v>834</v>
      </c>
      <c r="J80" s="101">
        <f>J71*$D$79</f>
        <v>7645399.7577189608</v>
      </c>
      <c r="K80" s="101">
        <f t="shared" si="34"/>
        <v>6672626.8617021609</v>
      </c>
      <c r="L80" s="101">
        <f t="shared" si="34"/>
        <v>3880273.0507539771</v>
      </c>
      <c r="M80" s="101">
        <f t="shared" si="34"/>
        <v>2907500.1547371778</v>
      </c>
      <c r="O80" s="182">
        <f t="shared" ref="O80:O81" si="37">E$80-J80</f>
        <v>164631137.97318506</v>
      </c>
      <c r="P80" s="182">
        <f t="shared" si="35"/>
        <v>150701196.44036183</v>
      </c>
      <c r="Q80" s="182">
        <f t="shared" si="35"/>
        <v>81047817.496990025</v>
      </c>
      <c r="R80" s="182">
        <f t="shared" si="35"/>
        <v>67117875.96416682</v>
      </c>
      <c r="T80" s="182">
        <f t="shared" si="30"/>
        <v>164604611.44860357</v>
      </c>
      <c r="U80" s="182">
        <f t="shared" si="22"/>
        <v>150682283.44727409</v>
      </c>
      <c r="V80" s="182">
        <f t="shared" si="22"/>
        <v>81023680.20990853</v>
      </c>
      <c r="W80" s="182">
        <f t="shared" si="22"/>
        <v>67101352.208579071</v>
      </c>
      <c r="Y80" s="182">
        <f t="shared" si="31"/>
        <v>164581846.82887957</v>
      </c>
      <c r="Z80" s="182">
        <f t="shared" si="23"/>
        <v>150667435.28470007</v>
      </c>
      <c r="AA80" s="182">
        <f t="shared" si="23"/>
        <v>81003399.890184522</v>
      </c>
      <c r="AB80" s="182">
        <f t="shared" si="23"/>
        <v>67088988.346005067</v>
      </c>
      <c r="AD80" s="182">
        <f t="shared" si="32"/>
        <v>161931731.98576468</v>
      </c>
      <c r="AE80" s="182">
        <f t="shared" si="24"/>
        <v>148238403.01729253</v>
      </c>
      <c r="AF80" s="182">
        <f t="shared" si="24"/>
        <v>78424399.121412039</v>
      </c>
      <c r="AG80" s="182">
        <f t="shared" si="24"/>
        <v>64731070.152939931</v>
      </c>
      <c r="AI80" s="182">
        <f t="shared" si="27"/>
        <v>163390295.52167627</v>
      </c>
      <c r="AJ80" s="182">
        <f t="shared" si="25"/>
        <v>149696966.55320415</v>
      </c>
      <c r="AK80" s="182">
        <f t="shared" si="25"/>
        <v>79882962.657323644</v>
      </c>
      <c r="AL80" s="182">
        <f t="shared" si="25"/>
        <v>66189633.688851535</v>
      </c>
    </row>
    <row r="81" spans="2:38" x14ac:dyDescent="0.3">
      <c r="B81" s="222"/>
      <c r="C81" s="180"/>
      <c r="D81" s="179" t="s">
        <v>831</v>
      </c>
      <c r="E81" s="182">
        <f>E72*$C$79</f>
        <v>3638929.6691640001</v>
      </c>
      <c r="F81" s="195">
        <f t="shared" ref="F81:H81" si="38">F72*$C$79</f>
        <v>3324145.4832240003</v>
      </c>
      <c r="G81" s="183">
        <f t="shared" si="38"/>
        <v>1793902.7131040001</v>
      </c>
      <c r="H81" s="184">
        <f t="shared" si="38"/>
        <v>1479118.5271640001</v>
      </c>
      <c r="I81" s="8" t="s">
        <v>835</v>
      </c>
      <c r="J81" s="170">
        <f>J72*$D$79</f>
        <v>1732732.3392240396</v>
      </c>
      <c r="K81" s="170">
        <f t="shared" si="34"/>
        <v>1580017.619588681</v>
      </c>
      <c r="L81" s="170">
        <f t="shared" si="34"/>
        <v>857392.65141124884</v>
      </c>
      <c r="M81" s="170">
        <f t="shared" si="34"/>
        <v>704677.93177589029</v>
      </c>
      <c r="N81" s="8"/>
      <c r="O81" s="194">
        <f t="shared" si="37"/>
        <v>170543805.39167997</v>
      </c>
      <c r="P81" s="194">
        <f t="shared" si="35"/>
        <v>155793805.68247533</v>
      </c>
      <c r="Q81" s="194">
        <f t="shared" si="35"/>
        <v>84070697.896332756</v>
      </c>
      <c r="R81" s="194">
        <f t="shared" si="35"/>
        <v>69320698.187128097</v>
      </c>
      <c r="S81" s="8"/>
      <c r="T81" s="194">
        <f t="shared" si="30"/>
        <v>170517278.86709848</v>
      </c>
      <c r="U81" s="194">
        <f t="shared" si="22"/>
        <v>155774892.68938759</v>
      </c>
      <c r="V81" s="194">
        <f t="shared" si="22"/>
        <v>84046560.609251261</v>
      </c>
      <c r="W81" s="194">
        <f t="shared" si="22"/>
        <v>69304174.43154034</v>
      </c>
      <c r="X81" s="8"/>
      <c r="Y81" s="194">
        <f t="shared" si="31"/>
        <v>170494514.24737448</v>
      </c>
      <c r="Z81" s="194">
        <f t="shared" si="23"/>
        <v>155760044.52681357</v>
      </c>
      <c r="AA81" s="194">
        <f t="shared" si="23"/>
        <v>84026280.289527252</v>
      </c>
      <c r="AB81" s="194">
        <f t="shared" si="23"/>
        <v>69291810.568966344</v>
      </c>
      <c r="AC81" s="8"/>
      <c r="AD81" s="194">
        <f t="shared" si="32"/>
        <v>167844399.40425959</v>
      </c>
      <c r="AE81" s="194">
        <f t="shared" si="24"/>
        <v>153331012.25940603</v>
      </c>
      <c r="AF81" s="194">
        <f t="shared" si="24"/>
        <v>81447279.520754769</v>
      </c>
      <c r="AG81" s="194">
        <f t="shared" si="24"/>
        <v>66933892.375901207</v>
      </c>
      <c r="AI81" s="194">
        <f t="shared" si="27"/>
        <v>169302962.94017118</v>
      </c>
      <c r="AJ81" s="194">
        <f t="shared" si="25"/>
        <v>154789575.79531765</v>
      </c>
      <c r="AK81" s="194">
        <f t="shared" si="25"/>
        <v>82905843.056666374</v>
      </c>
      <c r="AL81" s="194">
        <f t="shared" si="25"/>
        <v>68392455.911812812</v>
      </c>
    </row>
    <row r="82" spans="2:38" x14ac:dyDescent="0.3">
      <c r="B82" s="222"/>
      <c r="C82" s="180"/>
      <c r="D82" s="179"/>
      <c r="E82" s="182"/>
      <c r="F82" s="195"/>
      <c r="G82" s="183"/>
      <c r="H82" s="184"/>
      <c r="I82" s="145" t="s">
        <v>976</v>
      </c>
      <c r="J82" s="208">
        <f>J69*$D$83</f>
        <v>672212.12482101703</v>
      </c>
      <c r="K82" s="208">
        <f t="shared" ref="K82:M82" si="39">K69*$D$83</f>
        <v>591561.58584585704</v>
      </c>
      <c r="L82" s="208">
        <f t="shared" si="39"/>
        <v>336133.05459516199</v>
      </c>
      <c r="M82" s="208">
        <f t="shared" si="39"/>
        <v>255482.515620002</v>
      </c>
      <c r="N82" s="207"/>
      <c r="O82" s="182">
        <f>E$84-J82</f>
        <v>3251720.9663889832</v>
      </c>
      <c r="P82" s="182">
        <f t="shared" ref="P82:R85" si="40">F$84-K82</f>
        <v>2992933.210014143</v>
      </c>
      <c r="Q82" s="182">
        <f t="shared" si="40"/>
        <v>1598269.3269648382</v>
      </c>
      <c r="R82" s="182">
        <f t="shared" si="40"/>
        <v>1339481.570589998</v>
      </c>
      <c r="S82" s="207"/>
      <c r="T82" s="182">
        <f t="shared" si="30"/>
        <v>3225194.4418074833</v>
      </c>
      <c r="U82" s="182">
        <f t="shared" si="22"/>
        <v>2974020.2169263931</v>
      </c>
      <c r="V82" s="182">
        <f t="shared" si="22"/>
        <v>1574132.0398833381</v>
      </c>
      <c r="W82" s="182">
        <f t="shared" si="22"/>
        <v>1322957.8150022482</v>
      </c>
      <c r="X82" s="207"/>
      <c r="Y82" s="182">
        <f t="shared" si="31"/>
        <v>3202429.822083483</v>
      </c>
      <c r="Z82" s="182">
        <f t="shared" si="23"/>
        <v>2959172.0543523929</v>
      </c>
      <c r="AA82" s="182">
        <f t="shared" si="23"/>
        <v>1553851.7201593381</v>
      </c>
      <c r="AB82" s="182">
        <f t="shared" si="23"/>
        <v>1310593.952428248</v>
      </c>
      <c r="AC82" s="207"/>
      <c r="AD82" s="182">
        <f t="shared" si="32"/>
        <v>552314.97896859376</v>
      </c>
      <c r="AE82" s="182">
        <f t="shared" si="24"/>
        <v>530139.78694485361</v>
      </c>
      <c r="AF82" s="184">
        <f t="shared" si="24"/>
        <v>-1025149.0486131508</v>
      </c>
      <c r="AG82" s="184">
        <f t="shared" si="24"/>
        <v>-1047324.2406368915</v>
      </c>
      <c r="AI82" s="182">
        <f t="shared" si="27"/>
        <v>2010878.5148801957</v>
      </c>
      <c r="AJ82" s="182">
        <f t="shared" si="25"/>
        <v>1988703.3228564556</v>
      </c>
      <c r="AK82" s="195">
        <f t="shared" si="25"/>
        <v>433414.48729845067</v>
      </c>
      <c r="AL82" s="195">
        <f t="shared" si="25"/>
        <v>411239.29527471075</v>
      </c>
    </row>
    <row r="83" spans="2:38" x14ac:dyDescent="0.3">
      <c r="B83" s="222" t="s">
        <v>892</v>
      </c>
      <c r="C83" s="180">
        <v>2.3630000000000001E-3</v>
      </c>
      <c r="D83" s="180">
        <v>1.0505E-2</v>
      </c>
      <c r="I83" s="221" t="s">
        <v>833</v>
      </c>
      <c r="J83" s="208">
        <f t="shared" ref="J83:M85" si="41">J70*$D$83</f>
        <v>386323.3140086981</v>
      </c>
      <c r="K83" s="208">
        <f t="shared" si="41"/>
        <v>338856.26278695406</v>
      </c>
      <c r="L83" s="208">
        <f t="shared" si="41"/>
        <v>194692.41566299807</v>
      </c>
      <c r="M83" s="208">
        <f t="shared" si="41"/>
        <v>147225.36444125403</v>
      </c>
      <c r="O83" s="182">
        <f>E$84-J83</f>
        <v>3537609.7772013023</v>
      </c>
      <c r="P83" s="182">
        <f t="shared" si="40"/>
        <v>3245638.5330730458</v>
      </c>
      <c r="Q83" s="182">
        <f t="shared" si="40"/>
        <v>1739709.965897002</v>
      </c>
      <c r="R83" s="182">
        <f t="shared" si="40"/>
        <v>1447738.7217687462</v>
      </c>
      <c r="T83" s="182">
        <f t="shared" si="30"/>
        <v>3511083.2526198025</v>
      </c>
      <c r="U83" s="182">
        <f t="shared" si="22"/>
        <v>3226725.5399852959</v>
      </c>
      <c r="V83" s="182">
        <f t="shared" si="22"/>
        <v>1715572.678815502</v>
      </c>
      <c r="W83" s="182">
        <f t="shared" si="22"/>
        <v>1431214.966180996</v>
      </c>
      <c r="Y83" s="182">
        <f t="shared" si="31"/>
        <v>3488318.6328958021</v>
      </c>
      <c r="Z83" s="182">
        <f t="shared" si="23"/>
        <v>3211877.3774112957</v>
      </c>
      <c r="AA83" s="182">
        <f t="shared" si="23"/>
        <v>1695292.3590915019</v>
      </c>
      <c r="AB83" s="182">
        <f t="shared" si="23"/>
        <v>1418851.1036069961</v>
      </c>
      <c r="AD83" s="182">
        <f t="shared" si="32"/>
        <v>838203.78978091292</v>
      </c>
      <c r="AE83" s="182">
        <f t="shared" si="24"/>
        <v>782845.11000375636</v>
      </c>
      <c r="AF83" s="184">
        <f t="shared" si="24"/>
        <v>-883708.40968098701</v>
      </c>
      <c r="AG83" s="184">
        <f t="shared" si="24"/>
        <v>-939067.08945814334</v>
      </c>
      <c r="AI83" s="182">
        <f t="shared" si="27"/>
        <v>2296767.3256925149</v>
      </c>
      <c r="AJ83" s="182">
        <f t="shared" si="25"/>
        <v>2241408.6459153583</v>
      </c>
      <c r="AK83" s="195">
        <f t="shared" si="25"/>
        <v>574855.12623061449</v>
      </c>
      <c r="AL83" s="195">
        <f t="shared" si="25"/>
        <v>519496.44645345886</v>
      </c>
    </row>
    <row r="84" spans="2:38" x14ac:dyDescent="0.3">
      <c r="B84" s="222"/>
      <c r="C84" s="180"/>
      <c r="D84" s="179" t="s">
        <v>830</v>
      </c>
      <c r="E84" s="182">
        <f>E72*$D$83</f>
        <v>3923933.0912100002</v>
      </c>
      <c r="F84" s="195">
        <f t="shared" ref="F84:H84" si="42">F72*$D$83</f>
        <v>3584494.79586</v>
      </c>
      <c r="G84" s="183">
        <f t="shared" si="42"/>
        <v>1934402.3815600001</v>
      </c>
      <c r="H84" s="184">
        <f t="shared" si="42"/>
        <v>1594964.0862100001</v>
      </c>
      <c r="I84" s="221" t="s">
        <v>834</v>
      </c>
      <c r="J84" s="208">
        <f t="shared" si="41"/>
        <v>174138.84386103935</v>
      </c>
      <c r="K84" s="208">
        <f t="shared" si="41"/>
        <v>151982.04986466354</v>
      </c>
      <c r="L84" s="208">
        <f t="shared" si="41"/>
        <v>88380.762855629364</v>
      </c>
      <c r="M84" s="208">
        <f t="shared" si="41"/>
        <v>66223.968859253568</v>
      </c>
      <c r="O84" s="182">
        <f t="shared" ref="O84:O85" si="43">E$84-J84</f>
        <v>3749794.247348961</v>
      </c>
      <c r="P84" s="182">
        <f t="shared" si="40"/>
        <v>3432512.7459953362</v>
      </c>
      <c r="Q84" s="182">
        <f t="shared" si="40"/>
        <v>1846021.6187043707</v>
      </c>
      <c r="R84" s="182">
        <f t="shared" si="40"/>
        <v>1528740.1173507464</v>
      </c>
      <c r="T84" s="182">
        <f t="shared" si="30"/>
        <v>3723267.7227674611</v>
      </c>
      <c r="U84" s="182">
        <f t="shared" si="22"/>
        <v>3413599.7529075863</v>
      </c>
      <c r="V84" s="182">
        <f t="shared" si="22"/>
        <v>1821884.3316228706</v>
      </c>
      <c r="W84" s="182">
        <f t="shared" si="22"/>
        <v>1512216.3617629963</v>
      </c>
      <c r="Y84" s="182">
        <f t="shared" si="31"/>
        <v>3700503.1030434608</v>
      </c>
      <c r="Z84" s="182">
        <f t="shared" si="23"/>
        <v>3398751.5903335861</v>
      </c>
      <c r="AA84" s="182">
        <f t="shared" si="23"/>
        <v>1801604.0118988706</v>
      </c>
      <c r="AB84" s="182">
        <f t="shared" si="23"/>
        <v>1499852.4991889964</v>
      </c>
      <c r="AD84" s="182">
        <f t="shared" si="32"/>
        <v>1050388.2599285715</v>
      </c>
      <c r="AE84" s="182">
        <f t="shared" si="24"/>
        <v>969719.32292604679</v>
      </c>
      <c r="AF84" s="184">
        <f t="shared" si="24"/>
        <v>-777396.75687361835</v>
      </c>
      <c r="AG84" s="184">
        <f t="shared" si="24"/>
        <v>-858065.69387614308</v>
      </c>
      <c r="AI84" s="182">
        <f t="shared" si="27"/>
        <v>2508951.7958401735</v>
      </c>
      <c r="AJ84" s="182">
        <f t="shared" si="25"/>
        <v>2428282.8588376488</v>
      </c>
      <c r="AK84" s="195">
        <f t="shared" si="25"/>
        <v>681166.77903798316</v>
      </c>
      <c r="AL84" s="195">
        <f t="shared" si="25"/>
        <v>600497.84203545912</v>
      </c>
    </row>
    <row r="85" spans="2:38" x14ac:dyDescent="0.3">
      <c r="B85" s="222"/>
      <c r="C85" s="180"/>
      <c r="D85" s="179" t="s">
        <v>831</v>
      </c>
      <c r="E85" s="182">
        <f>E72*$C$83</f>
        <v>882651.48924600007</v>
      </c>
      <c r="F85" s="195">
        <f t="shared" ref="F85:H85" si="44">F72*$C$83</f>
        <v>806298.067836</v>
      </c>
      <c r="G85" s="183">
        <f t="shared" si="44"/>
        <v>435125.44765600003</v>
      </c>
      <c r="H85" s="184">
        <f t="shared" si="44"/>
        <v>358772.02624600002</v>
      </c>
      <c r="I85" s="8" t="s">
        <v>835</v>
      </c>
      <c r="J85" s="170">
        <f t="shared" si="41"/>
        <v>39466.347847732795</v>
      </c>
      <c r="K85" s="170">
        <f t="shared" si="41"/>
        <v>35987.973196228842</v>
      </c>
      <c r="L85" s="170">
        <f t="shared" si="41"/>
        <v>19528.784600303479</v>
      </c>
      <c r="M85" s="170">
        <f t="shared" si="41"/>
        <v>16050.409948799526</v>
      </c>
      <c r="N85" s="8"/>
      <c r="O85" s="194">
        <f t="shared" si="43"/>
        <v>3884466.7433622675</v>
      </c>
      <c r="P85" s="194">
        <f t="shared" si="40"/>
        <v>3548506.822663771</v>
      </c>
      <c r="Q85" s="194">
        <f t="shared" si="40"/>
        <v>1914873.5969596966</v>
      </c>
      <c r="R85" s="194">
        <f t="shared" si="40"/>
        <v>1578913.6762612006</v>
      </c>
      <c r="S85" s="8"/>
      <c r="T85" s="194">
        <f t="shared" si="30"/>
        <v>3857940.2187807676</v>
      </c>
      <c r="U85" s="194">
        <f t="shared" si="22"/>
        <v>3529593.8295760211</v>
      </c>
      <c r="V85" s="194">
        <f t="shared" si="22"/>
        <v>1890736.3098781966</v>
      </c>
      <c r="W85" s="194">
        <f t="shared" si="22"/>
        <v>1562389.9206734505</v>
      </c>
      <c r="X85" s="8"/>
      <c r="Y85" s="194">
        <f t="shared" si="31"/>
        <v>3835175.5990567673</v>
      </c>
      <c r="Z85" s="194">
        <f t="shared" si="23"/>
        <v>3514745.6670020209</v>
      </c>
      <c r="AA85" s="194">
        <f t="shared" si="23"/>
        <v>1870455.9901541965</v>
      </c>
      <c r="AB85" s="194">
        <f t="shared" si="23"/>
        <v>1550026.0580994505</v>
      </c>
      <c r="AC85" s="8"/>
      <c r="AD85" s="194">
        <f t="shared" si="32"/>
        <v>1185060.7559418781</v>
      </c>
      <c r="AE85" s="194">
        <f t="shared" si="24"/>
        <v>1085713.3995944816</v>
      </c>
      <c r="AF85" s="197">
        <f t="shared" si="24"/>
        <v>-708544.77861829242</v>
      </c>
      <c r="AG85" s="197">
        <f t="shared" si="24"/>
        <v>-807892.13496568892</v>
      </c>
      <c r="AI85" s="194">
        <f t="shared" si="27"/>
        <v>2643624.29185348</v>
      </c>
      <c r="AJ85" s="194">
        <f t="shared" si="25"/>
        <v>2544276.9355060835</v>
      </c>
      <c r="AK85" s="196">
        <f t="shared" si="25"/>
        <v>750018.75729330909</v>
      </c>
      <c r="AL85" s="196">
        <f t="shared" si="25"/>
        <v>650671.40094591328</v>
      </c>
    </row>
    <row r="86" spans="2:38" x14ac:dyDescent="0.3">
      <c r="B86" s="222"/>
      <c r="C86" s="180"/>
      <c r="D86" s="179"/>
      <c r="E86" s="182"/>
      <c r="F86" s="195"/>
      <c r="G86" s="183"/>
      <c r="H86" s="184"/>
      <c r="I86" s="145" t="s">
        <v>976</v>
      </c>
      <c r="J86" s="208">
        <f>J69*$D$87</f>
        <v>220508.61324447638</v>
      </c>
      <c r="K86" s="208">
        <f t="shared" ref="K86:M89" si="45">K69*$D$87</f>
        <v>194052.47261540437</v>
      </c>
      <c r="L86" s="208">
        <f t="shared" si="45"/>
        <v>110263.16098381039</v>
      </c>
      <c r="M86" s="208">
        <f t="shared" si="45"/>
        <v>83807.020354738401</v>
      </c>
      <c r="N86" s="207"/>
      <c r="O86" s="182">
        <f>E$88-J86</f>
        <v>1066675.9114875235</v>
      </c>
      <c r="P86" s="182">
        <f t="shared" ref="P86:R89" si="46">F$88-K86</f>
        <v>981784.65889659559</v>
      </c>
      <c r="Q86" s="195">
        <f t="shared" si="46"/>
        <v>524287.11096818961</v>
      </c>
      <c r="R86" s="195">
        <f t="shared" si="46"/>
        <v>439395.85837726155</v>
      </c>
      <c r="S86" s="207"/>
      <c r="T86" s="182">
        <f t="shared" si="30"/>
        <v>1040149.3869060235</v>
      </c>
      <c r="U86" s="182">
        <f t="shared" si="22"/>
        <v>962871.66580884554</v>
      </c>
      <c r="V86" s="195">
        <f t="shared" si="22"/>
        <v>500149.82388668961</v>
      </c>
      <c r="W86" s="195">
        <f t="shared" si="22"/>
        <v>422872.10278951155</v>
      </c>
      <c r="X86" s="207"/>
      <c r="Y86" s="182">
        <f t="shared" si="31"/>
        <v>1017384.7671820235</v>
      </c>
      <c r="Z86" s="182">
        <f t="shared" si="23"/>
        <v>948023.50323484559</v>
      </c>
      <c r="AA86" s="195">
        <f t="shared" si="23"/>
        <v>479869.50416268961</v>
      </c>
      <c r="AB86" s="195">
        <f t="shared" si="23"/>
        <v>410508.24021551153</v>
      </c>
      <c r="AC86" s="207"/>
      <c r="AD86" s="184">
        <f t="shared" si="32"/>
        <v>-1632730.075932866</v>
      </c>
      <c r="AE86" s="184">
        <f t="shared" si="24"/>
        <v>-1481008.7641726937</v>
      </c>
      <c r="AF86" s="184">
        <f t="shared" si="24"/>
        <v>-2099131.2646097993</v>
      </c>
      <c r="AG86" s="184">
        <f t="shared" si="24"/>
        <v>-1947409.9528496279</v>
      </c>
      <c r="AI86" s="183">
        <f t="shared" si="27"/>
        <v>-174166.54002126399</v>
      </c>
      <c r="AJ86" s="195">
        <f t="shared" si="25"/>
        <v>-22445.228261091863</v>
      </c>
      <c r="AK86" s="184">
        <f t="shared" si="25"/>
        <v>-640567.72869819799</v>
      </c>
      <c r="AL86" s="184">
        <f t="shared" si="25"/>
        <v>-488846.41693802574</v>
      </c>
    </row>
    <row r="87" spans="2:38" x14ac:dyDescent="0.3">
      <c r="B87" s="222" t="s">
        <v>893</v>
      </c>
      <c r="C87" s="180">
        <v>3.0200000000000002E-4</v>
      </c>
      <c r="D87" s="180">
        <v>3.4459999999999998E-3</v>
      </c>
      <c r="I87" s="221" t="s">
        <v>833</v>
      </c>
      <c r="J87" s="101">
        <f>J70*$D$87</f>
        <v>126727.28606130161</v>
      </c>
      <c r="K87" s="101">
        <f t="shared" si="45"/>
        <v>111156.46659341682</v>
      </c>
      <c r="L87" s="101">
        <f t="shared" si="45"/>
        <v>63865.78432886162</v>
      </c>
      <c r="M87" s="101">
        <f t="shared" si="45"/>
        <v>48294.964860976805</v>
      </c>
      <c r="O87" s="182">
        <f>E$88-J87</f>
        <v>1160457.2386706984</v>
      </c>
      <c r="P87" s="182">
        <f t="shared" si="46"/>
        <v>1064680.6649185831</v>
      </c>
      <c r="Q87" s="195">
        <f t="shared" si="46"/>
        <v>570684.48762313835</v>
      </c>
      <c r="R87" s="195">
        <f t="shared" si="46"/>
        <v>474907.91387102316</v>
      </c>
      <c r="T87" s="182">
        <f t="shared" si="30"/>
        <v>1133930.7140891983</v>
      </c>
      <c r="U87" s="182">
        <f t="shared" si="22"/>
        <v>1045767.6718308331</v>
      </c>
      <c r="V87" s="195">
        <f t="shared" si="22"/>
        <v>546547.2005416383</v>
      </c>
      <c r="W87" s="195">
        <f t="shared" si="22"/>
        <v>458384.15828327317</v>
      </c>
      <c r="Y87" s="182">
        <f t="shared" si="31"/>
        <v>1111166.0943651984</v>
      </c>
      <c r="Z87" s="182">
        <f t="shared" si="23"/>
        <v>1030919.5092568331</v>
      </c>
      <c r="AA87" s="195">
        <f t="shared" si="23"/>
        <v>526266.88081763836</v>
      </c>
      <c r="AB87" s="195">
        <f t="shared" si="23"/>
        <v>446020.29570927314</v>
      </c>
      <c r="AD87" s="184">
        <f t="shared" si="32"/>
        <v>-1538948.7487496911</v>
      </c>
      <c r="AE87" s="184">
        <f t="shared" si="24"/>
        <v>-1398112.7581507063</v>
      </c>
      <c r="AF87" s="184">
        <f t="shared" si="24"/>
        <v>-2052733.8879548507</v>
      </c>
      <c r="AG87" s="184">
        <f t="shared" si="24"/>
        <v>-1911897.8973558664</v>
      </c>
      <c r="AI87" s="183">
        <f t="shared" si="27"/>
        <v>-80385.212838089094</v>
      </c>
      <c r="AJ87" s="195">
        <f t="shared" si="25"/>
        <v>60450.777760895668</v>
      </c>
      <c r="AK87" s="184">
        <f t="shared" si="25"/>
        <v>-594170.35204324918</v>
      </c>
      <c r="AL87" s="184">
        <f t="shared" si="25"/>
        <v>-453334.36144426413</v>
      </c>
    </row>
    <row r="88" spans="2:38" x14ac:dyDescent="0.3">
      <c r="B88" s="222"/>
      <c r="C88" s="180"/>
      <c r="D88" s="179" t="s">
        <v>830</v>
      </c>
      <c r="E88" s="182">
        <f>E72*$D$87</f>
        <v>1287184.524732</v>
      </c>
      <c r="F88" s="195">
        <f t="shared" ref="F88:H88" si="47">F72*$D$87</f>
        <v>1175837.131512</v>
      </c>
      <c r="G88" s="183">
        <f t="shared" si="47"/>
        <v>634550.27195199998</v>
      </c>
      <c r="H88" s="184">
        <f t="shared" si="47"/>
        <v>523202.87873199995</v>
      </c>
      <c r="I88" s="221" t="s">
        <v>834</v>
      </c>
      <c r="J88" s="101">
        <f>J71*$D$87</f>
        <v>57123.50841933761</v>
      </c>
      <c r="K88" s="101">
        <f t="shared" si="45"/>
        <v>49855.320688589294</v>
      </c>
      <c r="L88" s="101">
        <f t="shared" si="45"/>
        <v>28991.918971965613</v>
      </c>
      <c r="M88" s="101">
        <f t="shared" si="45"/>
        <v>21723.731241217301</v>
      </c>
      <c r="O88" s="182">
        <f t="shared" ref="O88:O89" si="48">E$88-J88</f>
        <v>1230061.0163126623</v>
      </c>
      <c r="P88" s="182">
        <f t="shared" si="46"/>
        <v>1125981.8108234107</v>
      </c>
      <c r="Q88" s="195">
        <f t="shared" si="46"/>
        <v>605558.35298003443</v>
      </c>
      <c r="R88" s="195">
        <f t="shared" si="46"/>
        <v>501479.14749078266</v>
      </c>
      <c r="T88" s="182">
        <f t="shared" si="30"/>
        <v>1203534.4917311622</v>
      </c>
      <c r="U88" s="182">
        <f t="shared" si="22"/>
        <v>1107068.8177356608</v>
      </c>
      <c r="V88" s="195">
        <f t="shared" si="22"/>
        <v>581421.06589853438</v>
      </c>
      <c r="W88" s="195">
        <f t="shared" si="22"/>
        <v>484955.39190303267</v>
      </c>
      <c r="Y88" s="182">
        <f t="shared" si="31"/>
        <v>1180769.8720071623</v>
      </c>
      <c r="Z88" s="182">
        <f t="shared" si="23"/>
        <v>1092220.6551616606</v>
      </c>
      <c r="AA88" s="195">
        <f t="shared" si="23"/>
        <v>561140.74617453443</v>
      </c>
      <c r="AB88" s="195">
        <f t="shared" si="23"/>
        <v>472591.52932903264</v>
      </c>
      <c r="AD88" s="184">
        <f t="shared" si="32"/>
        <v>-1469344.9711077271</v>
      </c>
      <c r="AE88" s="184">
        <f t="shared" si="24"/>
        <v>-1336811.6122458787</v>
      </c>
      <c r="AF88" s="184">
        <f t="shared" si="24"/>
        <v>-2017860.0225979546</v>
      </c>
      <c r="AG88" s="184">
        <f t="shared" si="24"/>
        <v>-1885326.6637361068</v>
      </c>
      <c r="AI88" s="183">
        <f t="shared" si="27"/>
        <v>-10781.435196125181</v>
      </c>
      <c r="AJ88" s="195">
        <f t="shared" si="25"/>
        <v>121751.9236657233</v>
      </c>
      <c r="AK88" s="184">
        <f t="shared" si="25"/>
        <v>-559296.48668635311</v>
      </c>
      <c r="AL88" s="184">
        <f t="shared" si="25"/>
        <v>-426763.12782450463</v>
      </c>
    </row>
    <row r="89" spans="2:38" x14ac:dyDescent="0.3">
      <c r="B89" s="222"/>
      <c r="C89" s="180"/>
      <c r="D89" s="179" t="s">
        <v>831</v>
      </c>
      <c r="E89" s="195">
        <f>E72*$C$87</f>
        <v>112806.07268400001</v>
      </c>
      <c r="F89" s="183">
        <f t="shared" ref="F89:H89" si="49">F72*$C$87</f>
        <v>103047.82754400001</v>
      </c>
      <c r="G89" s="184">
        <f t="shared" si="49"/>
        <v>55610.615824000008</v>
      </c>
      <c r="H89" s="184">
        <f t="shared" si="49"/>
        <v>45852.370684000001</v>
      </c>
      <c r="I89" s="8" t="s">
        <v>835</v>
      </c>
      <c r="J89" s="170">
        <f>J72*$D$87</f>
        <v>12946.314581940713</v>
      </c>
      <c r="K89" s="170">
        <f t="shared" si="45"/>
        <v>11805.288494450697</v>
      </c>
      <c r="L89" s="170">
        <f t="shared" si="45"/>
        <v>6406.1105885431498</v>
      </c>
      <c r="M89" s="170">
        <f t="shared" si="45"/>
        <v>5265.084501053133</v>
      </c>
      <c r="N89" s="8"/>
      <c r="O89" s="194">
        <f t="shared" si="48"/>
        <v>1274238.2101500593</v>
      </c>
      <c r="P89" s="194">
        <f t="shared" si="46"/>
        <v>1164031.8430175493</v>
      </c>
      <c r="Q89" s="196">
        <f t="shared" si="46"/>
        <v>628144.16136345686</v>
      </c>
      <c r="R89" s="196">
        <f t="shared" si="46"/>
        <v>517937.79423094681</v>
      </c>
      <c r="S89" s="8"/>
      <c r="T89" s="194">
        <f t="shared" si="30"/>
        <v>1247711.6855685592</v>
      </c>
      <c r="U89" s="194">
        <f t="shared" si="22"/>
        <v>1145118.8499297993</v>
      </c>
      <c r="V89" s="196">
        <f t="shared" si="22"/>
        <v>604006.87428195681</v>
      </c>
      <c r="W89" s="196">
        <f t="shared" si="22"/>
        <v>501414.03864319681</v>
      </c>
      <c r="X89" s="8"/>
      <c r="Y89" s="194">
        <f t="shared" si="31"/>
        <v>1224947.0658445593</v>
      </c>
      <c r="Z89" s="194">
        <f t="shared" si="23"/>
        <v>1130270.6873557991</v>
      </c>
      <c r="AA89" s="196">
        <f t="shared" si="23"/>
        <v>583726.55455795687</v>
      </c>
      <c r="AB89" s="196">
        <f t="shared" si="23"/>
        <v>489050.17606919678</v>
      </c>
      <c r="AC89" s="8"/>
      <c r="AD89" s="197">
        <f t="shared" si="32"/>
        <v>-1425167.7772703301</v>
      </c>
      <c r="AE89" s="197">
        <f t="shared" si="24"/>
        <v>-1298761.5800517402</v>
      </c>
      <c r="AF89" s="197">
        <f t="shared" si="24"/>
        <v>-1995274.2142145322</v>
      </c>
      <c r="AG89" s="197">
        <f t="shared" si="24"/>
        <v>-1868868.0169959427</v>
      </c>
      <c r="AI89" s="193">
        <f t="shared" si="27"/>
        <v>33395.758641271852</v>
      </c>
      <c r="AJ89" s="196">
        <f t="shared" si="25"/>
        <v>159801.9558598618</v>
      </c>
      <c r="AK89" s="197">
        <f t="shared" si="25"/>
        <v>-536710.67830293067</v>
      </c>
      <c r="AL89" s="197">
        <f t="shared" si="25"/>
        <v>-410304.48108434048</v>
      </c>
    </row>
    <row r="90" spans="2:38" x14ac:dyDescent="0.3">
      <c r="B90" s="222"/>
      <c r="C90" s="180"/>
      <c r="D90" s="179"/>
      <c r="E90" s="195"/>
      <c r="F90" s="183"/>
      <c r="G90" s="184"/>
      <c r="H90" s="184"/>
      <c r="I90" s="145" t="s">
        <v>976</v>
      </c>
      <c r="J90" s="208">
        <f>J69*$D$91</f>
        <v>33466.629346158203</v>
      </c>
      <c r="K90" s="208">
        <f t="shared" ref="K90:M93" si="50">K69*$D$91</f>
        <v>29451.376430022199</v>
      </c>
      <c r="L90" s="208">
        <f t="shared" si="50"/>
        <v>16734.658501025198</v>
      </c>
      <c r="M90" s="208">
        <f t="shared" si="50"/>
        <v>12719.4055848892</v>
      </c>
      <c r="N90" s="207"/>
      <c r="O90" s="195">
        <f>E$92-J90</f>
        <v>161889.58261984179</v>
      </c>
      <c r="P90" s="195">
        <f t="shared" ref="P90:R93" si="51">F$92-K90</f>
        <v>149005.6229259778</v>
      </c>
      <c r="Q90" s="183">
        <f t="shared" si="51"/>
        <v>79571.143074974796</v>
      </c>
      <c r="R90" s="183">
        <f t="shared" si="51"/>
        <v>66687.183381110808</v>
      </c>
      <c r="S90" s="207"/>
      <c r="T90" s="195">
        <f t="shared" si="30"/>
        <v>135363.05803834178</v>
      </c>
      <c r="U90" s="195">
        <f t="shared" si="30"/>
        <v>130092.6298382278</v>
      </c>
      <c r="V90" s="183">
        <f t="shared" si="30"/>
        <v>55433.855993474797</v>
      </c>
      <c r="W90" s="183">
        <f t="shared" si="30"/>
        <v>50163.42779336081</v>
      </c>
      <c r="X90" s="207"/>
      <c r="Y90" s="195">
        <f t="shared" si="31"/>
        <v>112598.43831434179</v>
      </c>
      <c r="Z90" s="195">
        <f t="shared" si="31"/>
        <v>115244.4672642278</v>
      </c>
      <c r="AA90" s="183">
        <f t="shared" si="31"/>
        <v>35153.536269474796</v>
      </c>
      <c r="AB90" s="183">
        <f t="shared" si="31"/>
        <v>37799.565219360811</v>
      </c>
      <c r="AC90" s="207"/>
      <c r="AD90" s="184">
        <f t="shared" si="32"/>
        <v>-2537516.4048005478</v>
      </c>
      <c r="AE90" s="184">
        <f t="shared" si="32"/>
        <v>-2313787.8001433117</v>
      </c>
      <c r="AF90" s="184">
        <f t="shared" si="32"/>
        <v>-2543847.2325030142</v>
      </c>
      <c r="AG90" s="184">
        <f t="shared" si="32"/>
        <v>-2320118.6278457786</v>
      </c>
      <c r="AI90" s="184">
        <f t="shared" si="27"/>
        <v>-1078952.8688889458</v>
      </c>
      <c r="AJ90" s="184">
        <f t="shared" si="27"/>
        <v>-855224.26423170965</v>
      </c>
      <c r="AK90" s="184">
        <f t="shared" si="27"/>
        <v>-1085283.6965914126</v>
      </c>
      <c r="AL90" s="184">
        <f t="shared" si="27"/>
        <v>-861555.09193417651</v>
      </c>
    </row>
    <row r="91" spans="2:38" x14ac:dyDescent="0.3">
      <c r="B91" s="222" t="s">
        <v>894</v>
      </c>
      <c r="C91" s="180">
        <v>2.1999999999999999E-5</v>
      </c>
      <c r="D91" s="180">
        <v>5.2300000000000003E-4</v>
      </c>
      <c r="I91" s="221" t="s">
        <v>833</v>
      </c>
      <c r="J91" s="101">
        <f>J70*$D$91</f>
        <v>19233.421535130805</v>
      </c>
      <c r="K91" s="101">
        <f t="shared" si="50"/>
        <v>16870.235643748405</v>
      </c>
      <c r="L91" s="101">
        <f t="shared" si="50"/>
        <v>9692.9208369108037</v>
      </c>
      <c r="M91" s="101">
        <f t="shared" si="50"/>
        <v>7329.734945528402</v>
      </c>
      <c r="O91" s="195">
        <f>E$92-J91</f>
        <v>176122.79043086921</v>
      </c>
      <c r="P91" s="195">
        <f t="shared" si="51"/>
        <v>161586.76371225162</v>
      </c>
      <c r="Q91" s="183">
        <f t="shared" si="51"/>
        <v>86612.880739089189</v>
      </c>
      <c r="R91" s="183">
        <f t="shared" si="51"/>
        <v>72076.854020471612</v>
      </c>
      <c r="T91" s="195">
        <f t="shared" si="30"/>
        <v>149596.2658493692</v>
      </c>
      <c r="U91" s="195">
        <f t="shared" si="30"/>
        <v>142673.77062450163</v>
      </c>
      <c r="V91" s="183">
        <f t="shared" si="30"/>
        <v>62475.59365758919</v>
      </c>
      <c r="W91" s="183">
        <f t="shared" si="30"/>
        <v>55553.098432721614</v>
      </c>
      <c r="Y91" s="195">
        <f t="shared" si="31"/>
        <v>126831.64612536921</v>
      </c>
      <c r="Z91" s="195">
        <f t="shared" si="31"/>
        <v>127825.60805050161</v>
      </c>
      <c r="AA91" s="183">
        <f t="shared" si="31"/>
        <v>42195.273933589189</v>
      </c>
      <c r="AB91" s="183">
        <f t="shared" si="31"/>
        <v>43189.235858721615</v>
      </c>
      <c r="AD91" s="184">
        <f t="shared" si="32"/>
        <v>-2523283.1969895205</v>
      </c>
      <c r="AE91" s="184">
        <f t="shared" si="32"/>
        <v>-2301206.6593570379</v>
      </c>
      <c r="AF91" s="184">
        <f t="shared" si="32"/>
        <v>-2536805.4948388999</v>
      </c>
      <c r="AG91" s="184">
        <f t="shared" si="32"/>
        <v>-2314728.9572064178</v>
      </c>
      <c r="AI91" s="184">
        <f t="shared" si="27"/>
        <v>-1064719.6610779183</v>
      </c>
      <c r="AJ91" s="184">
        <f t="shared" si="27"/>
        <v>-842643.12344543589</v>
      </c>
      <c r="AK91" s="184">
        <f t="shared" si="27"/>
        <v>-1078241.9589272984</v>
      </c>
      <c r="AL91" s="184">
        <f t="shared" si="27"/>
        <v>-856165.42129481572</v>
      </c>
    </row>
    <row r="92" spans="2:38" x14ac:dyDescent="0.3">
      <c r="B92" s="222"/>
      <c r="C92" s="180"/>
      <c r="D92" s="179" t="s">
        <v>830</v>
      </c>
      <c r="E92" s="182">
        <f>E72*$D$91</f>
        <v>195356.211966</v>
      </c>
      <c r="F92" s="183">
        <f t="shared" ref="F92:H92" si="52">F72*$D$91</f>
        <v>178456.99935600001</v>
      </c>
      <c r="G92" s="184">
        <f t="shared" si="52"/>
        <v>96305.801575999998</v>
      </c>
      <c r="H92" s="184">
        <f t="shared" si="52"/>
        <v>79406.58896600001</v>
      </c>
      <c r="I92" s="221" t="s">
        <v>834</v>
      </c>
      <c r="J92" s="101">
        <f>J71*$D$91</f>
        <v>8669.6444873225682</v>
      </c>
      <c r="K92" s="101">
        <f t="shared" si="50"/>
        <v>7566.5504121103313</v>
      </c>
      <c r="L92" s="101">
        <f t="shared" si="50"/>
        <v>4400.1084220365692</v>
      </c>
      <c r="M92" s="101">
        <f t="shared" si="50"/>
        <v>3297.0143468243327</v>
      </c>
      <c r="O92" s="195">
        <f t="shared" ref="O92:O93" si="53">E$92-J92</f>
        <v>186686.56747867743</v>
      </c>
      <c r="P92" s="195">
        <f t="shared" si="51"/>
        <v>170890.44894388967</v>
      </c>
      <c r="Q92" s="183">
        <f t="shared" si="51"/>
        <v>91905.693153963424</v>
      </c>
      <c r="R92" s="183">
        <f t="shared" si="51"/>
        <v>76109.574619175677</v>
      </c>
      <c r="T92" s="195">
        <f t="shared" si="30"/>
        <v>160160.04289717742</v>
      </c>
      <c r="U92" s="195">
        <f t="shared" si="30"/>
        <v>151977.45585613966</v>
      </c>
      <c r="V92" s="183">
        <f t="shared" si="30"/>
        <v>67768.406072463433</v>
      </c>
      <c r="W92" s="183">
        <f t="shared" si="30"/>
        <v>59585.819031425679</v>
      </c>
      <c r="Y92" s="195">
        <f t="shared" si="31"/>
        <v>137395.42317317743</v>
      </c>
      <c r="Z92" s="195">
        <f t="shared" si="31"/>
        <v>137129.29328213967</v>
      </c>
      <c r="AA92" s="183">
        <f t="shared" si="31"/>
        <v>47488.086348463425</v>
      </c>
      <c r="AB92" s="183">
        <f t="shared" si="31"/>
        <v>47221.95645742568</v>
      </c>
      <c r="AD92" s="184">
        <f t="shared" si="32"/>
        <v>-2512719.4199417122</v>
      </c>
      <c r="AE92" s="184">
        <f t="shared" si="32"/>
        <v>-2291902.9741253997</v>
      </c>
      <c r="AF92" s="184">
        <f t="shared" si="32"/>
        <v>-2531512.6824240256</v>
      </c>
      <c r="AG92" s="184">
        <f t="shared" si="32"/>
        <v>-2310696.2366077136</v>
      </c>
      <c r="AI92" s="184">
        <f t="shared" si="27"/>
        <v>-1054155.88403011</v>
      </c>
      <c r="AJ92" s="184">
        <f t="shared" si="27"/>
        <v>-833339.43821379775</v>
      </c>
      <c r="AK92" s="184">
        <f t="shared" si="27"/>
        <v>-1072949.1465124241</v>
      </c>
      <c r="AL92" s="184">
        <f t="shared" si="27"/>
        <v>-852132.70069611166</v>
      </c>
    </row>
    <row r="93" spans="2:38" x14ac:dyDescent="0.3">
      <c r="B93" s="222"/>
      <c r="C93" s="180"/>
      <c r="D93" s="179" t="s">
        <v>831</v>
      </c>
      <c r="E93" s="183">
        <f>E72*$C$91</f>
        <v>8217.6609239999998</v>
      </c>
      <c r="F93" s="184">
        <f t="shared" ref="F93:H93" si="54">F72*$C$91</f>
        <v>7506.795384</v>
      </c>
      <c r="G93" s="184">
        <f t="shared" si="54"/>
        <v>4051.104464</v>
      </c>
      <c r="H93" s="184">
        <f t="shared" si="54"/>
        <v>3340.2389239999998</v>
      </c>
      <c r="I93" s="8" t="s">
        <v>835</v>
      </c>
      <c r="J93" s="170">
        <f>J72*$D$91</f>
        <v>1964.8643431094004</v>
      </c>
      <c r="K93" s="170">
        <f t="shared" si="50"/>
        <v>1791.6906217637013</v>
      </c>
      <c r="L93" s="170">
        <f t="shared" si="50"/>
        <v>972.25648224261977</v>
      </c>
      <c r="M93" s="170">
        <f t="shared" si="50"/>
        <v>799.08276089692072</v>
      </c>
      <c r="N93" s="8"/>
      <c r="O93" s="196">
        <f t="shared" si="53"/>
        <v>193391.34762289061</v>
      </c>
      <c r="P93" s="196">
        <f t="shared" si="51"/>
        <v>176665.30873423631</v>
      </c>
      <c r="Q93" s="193">
        <f t="shared" si="51"/>
        <v>95333.545093757377</v>
      </c>
      <c r="R93" s="193">
        <f t="shared" si="51"/>
        <v>78607.506205103084</v>
      </c>
      <c r="S93" s="8"/>
      <c r="T93" s="196">
        <f t="shared" si="30"/>
        <v>166864.8230413906</v>
      </c>
      <c r="U93" s="196">
        <f t="shared" si="30"/>
        <v>157752.3156464863</v>
      </c>
      <c r="V93" s="193">
        <f t="shared" si="30"/>
        <v>71196.258012257371</v>
      </c>
      <c r="W93" s="193">
        <f t="shared" si="30"/>
        <v>62083.750617353086</v>
      </c>
      <c r="X93" s="8"/>
      <c r="Y93" s="196">
        <f t="shared" si="31"/>
        <v>144100.20331739061</v>
      </c>
      <c r="Z93" s="196">
        <f t="shared" si="31"/>
        <v>142904.15307248631</v>
      </c>
      <c r="AA93" s="193">
        <f t="shared" si="31"/>
        <v>50915.938288257377</v>
      </c>
      <c r="AB93" s="193">
        <f t="shared" si="31"/>
        <v>49719.888043353087</v>
      </c>
      <c r="AC93" s="8"/>
      <c r="AD93" s="197">
        <f t="shared" si="32"/>
        <v>-2506014.6397974989</v>
      </c>
      <c r="AE93" s="197">
        <f t="shared" si="32"/>
        <v>-2286128.1143350531</v>
      </c>
      <c r="AF93" s="197">
        <f t="shared" si="32"/>
        <v>-2528084.8304842315</v>
      </c>
      <c r="AG93" s="197">
        <f t="shared" si="32"/>
        <v>-2308198.3050217866</v>
      </c>
      <c r="AI93" s="197">
        <f t="shared" si="27"/>
        <v>-1047451.1038858969</v>
      </c>
      <c r="AJ93" s="197">
        <f t="shared" si="27"/>
        <v>-827564.57842345117</v>
      </c>
      <c r="AK93" s="197">
        <f t="shared" si="27"/>
        <v>-1069521.2945726302</v>
      </c>
      <c r="AL93" s="197">
        <f t="shared" si="27"/>
        <v>-849634.76911018416</v>
      </c>
    </row>
    <row r="94" spans="2:38" x14ac:dyDescent="0.3">
      <c r="B94" s="222"/>
      <c r="C94" s="180"/>
      <c r="D94" s="179"/>
      <c r="E94" s="183"/>
      <c r="F94" s="184"/>
      <c r="G94" s="184"/>
      <c r="H94" s="184"/>
      <c r="I94" s="145" t="s">
        <v>976</v>
      </c>
      <c r="J94" s="208">
        <f>J69*$D$95</f>
        <v>191.9691931902</v>
      </c>
      <c r="K94" s="208">
        <f t="shared" ref="K94:M97" si="55">K69*$D$95</f>
        <v>168.9371496942</v>
      </c>
      <c r="L94" s="208">
        <f t="shared" si="55"/>
        <v>95.992304977199993</v>
      </c>
      <c r="M94" s="208">
        <f t="shared" si="55"/>
        <v>72.960261481200007</v>
      </c>
      <c r="N94" s="207"/>
      <c r="O94" s="184">
        <f>E$96-J94</f>
        <v>928.62093280980002</v>
      </c>
      <c r="P94" s="184">
        <f t="shared" ref="P94:R97" si="56">F$96-K94</f>
        <v>854.71676630579998</v>
      </c>
      <c r="Q94" s="184">
        <f t="shared" si="56"/>
        <v>456.43103102280008</v>
      </c>
      <c r="R94" s="184">
        <f t="shared" si="56"/>
        <v>382.52686451879998</v>
      </c>
      <c r="S94" s="207"/>
      <c r="T94" s="184">
        <f t="shared" si="30"/>
        <v>-25597.9036486902</v>
      </c>
      <c r="U94" s="184">
        <f t="shared" si="30"/>
        <v>-18058.276321444202</v>
      </c>
      <c r="V94" s="184">
        <f t="shared" si="30"/>
        <v>-23680.856050477199</v>
      </c>
      <c r="W94" s="184">
        <f t="shared" si="30"/>
        <v>-16141.228723231197</v>
      </c>
      <c r="X94" s="207"/>
      <c r="Y94" s="184">
        <f t="shared" si="31"/>
        <v>-48362.523372690201</v>
      </c>
      <c r="Z94" s="184">
        <f t="shared" si="31"/>
        <v>-32906.438895444204</v>
      </c>
      <c r="AA94" s="184">
        <f t="shared" si="31"/>
        <v>-43961.175774477197</v>
      </c>
      <c r="AB94" s="184">
        <f t="shared" si="31"/>
        <v>-28505.0912972312</v>
      </c>
      <c r="AC94" s="207"/>
      <c r="AD94" s="184">
        <f t="shared" si="32"/>
        <v>-2698477.3664875794</v>
      </c>
      <c r="AE94" s="184">
        <f t="shared" si="32"/>
        <v>-2461938.7063029837</v>
      </c>
      <c r="AF94" s="184">
        <f t="shared" si="32"/>
        <v>-2622961.9445469663</v>
      </c>
      <c r="AG94" s="184">
        <f t="shared" si="32"/>
        <v>-2386423.2843623706</v>
      </c>
      <c r="AI94" s="184">
        <f t="shared" si="27"/>
        <v>-1239913.8305759777</v>
      </c>
      <c r="AJ94" s="184">
        <f t="shared" si="27"/>
        <v>-1003375.1703913816</v>
      </c>
      <c r="AK94" s="184">
        <f t="shared" si="27"/>
        <v>-1164398.4086353648</v>
      </c>
      <c r="AL94" s="184">
        <f t="shared" si="27"/>
        <v>-927859.74845076853</v>
      </c>
    </row>
    <row r="95" spans="2:38" x14ac:dyDescent="0.3">
      <c r="B95" s="222" t="s">
        <v>825</v>
      </c>
      <c r="C95" s="180">
        <v>3.0000000000000001E-6</v>
      </c>
      <c r="D95" s="180">
        <v>3.0000000000000001E-6</v>
      </c>
      <c r="I95" s="221" t="s">
        <v>833</v>
      </c>
      <c r="J95" s="101">
        <f>J70*$D$95</f>
        <v>110.32555373880002</v>
      </c>
      <c r="K95" s="101">
        <f t="shared" si="55"/>
        <v>96.769994132400029</v>
      </c>
      <c r="L95" s="101">
        <f t="shared" si="55"/>
        <v>55.599928318800018</v>
      </c>
      <c r="M95" s="101">
        <f t="shared" si="55"/>
        <v>42.044368712400008</v>
      </c>
      <c r="O95" s="184">
        <f>E$96-J95</f>
        <v>1010.2645722612</v>
      </c>
      <c r="P95" s="184">
        <f t="shared" si="56"/>
        <v>926.88392186759995</v>
      </c>
      <c r="Q95" s="184">
        <f t="shared" si="56"/>
        <v>496.82340768120002</v>
      </c>
      <c r="R95" s="184">
        <f t="shared" si="56"/>
        <v>413.44275728759999</v>
      </c>
      <c r="T95" s="184">
        <f t="shared" si="30"/>
        <v>-25516.260009238802</v>
      </c>
      <c r="U95" s="184">
        <f t="shared" si="30"/>
        <v>-17986.109165882401</v>
      </c>
      <c r="V95" s="184">
        <f t="shared" si="30"/>
        <v>-23640.463673818798</v>
      </c>
      <c r="W95" s="184">
        <f t="shared" si="30"/>
        <v>-16110.312830462399</v>
      </c>
      <c r="Y95" s="184">
        <f t="shared" si="31"/>
        <v>-48280.879733238799</v>
      </c>
      <c r="Z95" s="184">
        <f t="shared" si="31"/>
        <v>-32834.271739882402</v>
      </c>
      <c r="AA95" s="184">
        <f t="shared" si="31"/>
        <v>-43920.783397818799</v>
      </c>
      <c r="AB95" s="184">
        <f t="shared" si="31"/>
        <v>-28474.175404462399</v>
      </c>
      <c r="AD95" s="184">
        <f t="shared" si="32"/>
        <v>-2698395.7228481281</v>
      </c>
      <c r="AE95" s="184">
        <f t="shared" si="32"/>
        <v>-2461866.5391474217</v>
      </c>
      <c r="AF95" s="184">
        <f t="shared" si="32"/>
        <v>-2622921.5521703078</v>
      </c>
      <c r="AG95" s="184">
        <f t="shared" si="32"/>
        <v>-2386392.368469602</v>
      </c>
      <c r="AI95" s="184">
        <f t="shared" si="27"/>
        <v>-1239832.1869365263</v>
      </c>
      <c r="AJ95" s="184">
        <f t="shared" si="27"/>
        <v>-1003303.0032358199</v>
      </c>
      <c r="AK95" s="184">
        <f t="shared" si="27"/>
        <v>-1164358.0162587063</v>
      </c>
      <c r="AL95" s="184">
        <f t="shared" si="27"/>
        <v>-927828.83255799965</v>
      </c>
    </row>
    <row r="96" spans="2:38" x14ac:dyDescent="0.3">
      <c r="D96" s="179" t="s">
        <v>830</v>
      </c>
      <c r="E96" s="184">
        <f>E72*$D$95</f>
        <v>1120.5901260000001</v>
      </c>
      <c r="F96" s="184">
        <f t="shared" ref="F96:H96" si="57">F72*$D$95</f>
        <v>1023.653916</v>
      </c>
      <c r="G96" s="184">
        <f t="shared" si="57"/>
        <v>552.42333600000006</v>
      </c>
      <c r="H96" s="184">
        <f t="shared" si="57"/>
        <v>455.48712599999999</v>
      </c>
      <c r="I96" s="221" t="s">
        <v>834</v>
      </c>
      <c r="J96" s="101">
        <f>J71*$D$95</f>
        <v>49.730274305865592</v>
      </c>
      <c r="K96" s="101">
        <f t="shared" si="55"/>
        <v>43.402774830460793</v>
      </c>
      <c r="L96" s="101">
        <f t="shared" si="55"/>
        <v>25.239627659865597</v>
      </c>
      <c r="M96" s="101">
        <f t="shared" si="55"/>
        <v>18.912128184460798</v>
      </c>
      <c r="O96" s="184">
        <f t="shared" ref="O96:O97" si="58">E$96-J96</f>
        <v>1070.8598516941345</v>
      </c>
      <c r="P96" s="184">
        <f t="shared" si="56"/>
        <v>980.25114116953921</v>
      </c>
      <c r="Q96" s="184">
        <f t="shared" si="56"/>
        <v>527.18370834013444</v>
      </c>
      <c r="R96" s="184">
        <f t="shared" si="56"/>
        <v>436.57499781553918</v>
      </c>
      <c r="T96" s="184">
        <f t="shared" si="30"/>
        <v>-25455.664729805867</v>
      </c>
      <c r="U96" s="184">
        <f t="shared" si="30"/>
        <v>-17932.741946580463</v>
      </c>
      <c r="V96" s="184">
        <f t="shared" si="30"/>
        <v>-23610.103373159865</v>
      </c>
      <c r="W96" s="184">
        <f t="shared" si="30"/>
        <v>-16087.180589934458</v>
      </c>
      <c r="Y96" s="184">
        <f t="shared" si="31"/>
        <v>-48220.284453805863</v>
      </c>
      <c r="Z96" s="184">
        <f t="shared" si="31"/>
        <v>-32780.904520580465</v>
      </c>
      <c r="AA96" s="184">
        <f t="shared" si="31"/>
        <v>-43890.423097159866</v>
      </c>
      <c r="AB96" s="184">
        <f t="shared" si="31"/>
        <v>-28451.043163934461</v>
      </c>
      <c r="AD96" s="184">
        <f t="shared" si="32"/>
        <v>-2698335.1275686952</v>
      </c>
      <c r="AE96" s="184">
        <f t="shared" si="32"/>
        <v>-2461813.1719281198</v>
      </c>
      <c r="AF96" s="184">
        <f t="shared" si="32"/>
        <v>-2622891.1918696491</v>
      </c>
      <c r="AG96" s="184">
        <f t="shared" si="32"/>
        <v>-2386369.2362290737</v>
      </c>
      <c r="AI96" s="184">
        <f t="shared" si="27"/>
        <v>-1239771.5916570933</v>
      </c>
      <c r="AJ96" s="184">
        <f t="shared" si="27"/>
        <v>-1003249.6360165179</v>
      </c>
      <c r="AK96" s="184">
        <f t="shared" si="27"/>
        <v>-1164327.6559580474</v>
      </c>
      <c r="AL96" s="184">
        <f t="shared" si="27"/>
        <v>-927805.70031747175</v>
      </c>
    </row>
    <row r="97" spans="4:38" x14ac:dyDescent="0.3">
      <c r="D97" s="179" t="s">
        <v>831</v>
      </c>
      <c r="E97" s="184">
        <f>E72*$C$95</f>
        <v>1120.5901260000001</v>
      </c>
      <c r="F97" s="184">
        <f t="shared" ref="F97:H97" si="59">F72*$C$95</f>
        <v>1023.653916</v>
      </c>
      <c r="G97" s="184">
        <f t="shared" si="59"/>
        <v>552.42333600000006</v>
      </c>
      <c r="H97" s="184">
        <f t="shared" si="59"/>
        <v>455.48712599999999</v>
      </c>
      <c r="I97" s="8" t="s">
        <v>835</v>
      </c>
      <c r="J97" s="170">
        <f>J72*$D$95</f>
        <v>11.270732369652391</v>
      </c>
      <c r="K97" s="170">
        <f t="shared" si="55"/>
        <v>10.277384063654118</v>
      </c>
      <c r="L97" s="170">
        <f t="shared" si="55"/>
        <v>5.5769970300723886</v>
      </c>
      <c r="M97" s="170">
        <f t="shared" si="55"/>
        <v>4.5836487240741155</v>
      </c>
      <c r="N97" s="8"/>
      <c r="O97" s="197">
        <f t="shared" si="58"/>
        <v>1109.3193936303476</v>
      </c>
      <c r="P97" s="197">
        <f t="shared" si="56"/>
        <v>1013.3765319363458</v>
      </c>
      <c r="Q97" s="197">
        <f t="shared" si="56"/>
        <v>546.84633896992773</v>
      </c>
      <c r="R97" s="197">
        <f t="shared" si="56"/>
        <v>450.90347727592587</v>
      </c>
      <c r="S97" s="8"/>
      <c r="T97" s="197">
        <f t="shared" si="30"/>
        <v>-25417.205187869655</v>
      </c>
      <c r="U97" s="197">
        <f t="shared" si="30"/>
        <v>-17899.616555813656</v>
      </c>
      <c r="V97" s="197">
        <f t="shared" si="30"/>
        <v>-23590.440742530071</v>
      </c>
      <c r="W97" s="197">
        <f t="shared" si="30"/>
        <v>-16072.852110474072</v>
      </c>
      <c r="X97" s="8"/>
      <c r="Y97" s="197">
        <f t="shared" si="31"/>
        <v>-48181.824911869648</v>
      </c>
      <c r="Z97" s="197">
        <f t="shared" si="31"/>
        <v>-32747.779129813658</v>
      </c>
      <c r="AA97" s="197">
        <f t="shared" si="31"/>
        <v>-43870.760466530075</v>
      </c>
      <c r="AB97" s="197">
        <f t="shared" si="31"/>
        <v>-28436.714684474075</v>
      </c>
      <c r="AC97" s="8"/>
      <c r="AD97" s="197">
        <f t="shared" si="32"/>
        <v>-2698296.6680267593</v>
      </c>
      <c r="AE97" s="197">
        <f t="shared" si="32"/>
        <v>-2461780.0465373532</v>
      </c>
      <c r="AF97" s="197">
        <f t="shared" si="32"/>
        <v>-2622871.5292390189</v>
      </c>
      <c r="AG97" s="197">
        <f t="shared" si="32"/>
        <v>-2386354.9077496137</v>
      </c>
      <c r="AI97" s="197">
        <f t="shared" si="27"/>
        <v>-1239733.1321151571</v>
      </c>
      <c r="AJ97" s="197">
        <f t="shared" si="27"/>
        <v>-1003216.5106257511</v>
      </c>
      <c r="AK97" s="197">
        <f t="shared" si="27"/>
        <v>-1164307.9933274176</v>
      </c>
      <c r="AL97" s="197">
        <f t="shared" si="27"/>
        <v>-927791.37183801131</v>
      </c>
    </row>
    <row r="99" spans="4:38" x14ac:dyDescent="0.3">
      <c r="O99" s="221" t="s">
        <v>838</v>
      </c>
    </row>
    <row r="100" spans="4:38" x14ac:dyDescent="0.3">
      <c r="O100" s="221" t="s">
        <v>839</v>
      </c>
    </row>
    <row r="101" spans="4:38" x14ac:dyDescent="0.3">
      <c r="J101" s="86" t="s">
        <v>840</v>
      </c>
    </row>
    <row r="102" spans="4:38" x14ac:dyDescent="0.3">
      <c r="I102" s="221" t="s">
        <v>1012</v>
      </c>
      <c r="J102" s="86" t="s">
        <v>1013</v>
      </c>
    </row>
    <row r="103" spans="4:38" x14ac:dyDescent="0.3">
      <c r="I103" s="186" t="s">
        <v>983</v>
      </c>
      <c r="J103" s="175">
        <v>63989731.0634</v>
      </c>
      <c r="K103" s="175">
        <v>56312383.231399998</v>
      </c>
      <c r="L103" s="175">
        <v>31997434.992399998</v>
      </c>
      <c r="M103" s="175">
        <v>24320087.160399999</v>
      </c>
    </row>
    <row r="104" spans="4:38" x14ac:dyDescent="0.3">
      <c r="I104" s="186" t="s">
        <v>833</v>
      </c>
      <c r="J104" s="175">
        <v>36775184.579600006</v>
      </c>
      <c r="K104" s="175">
        <v>32256664.710800007</v>
      </c>
      <c r="L104" s="175">
        <v>18533309.439600006</v>
      </c>
      <c r="M104" s="175">
        <v>14014789.570800003</v>
      </c>
      <c r="AD104" s="241" t="s">
        <v>1041</v>
      </c>
      <c r="AE104" s="241"/>
      <c r="AF104" s="241"/>
      <c r="AG104" s="241"/>
      <c r="AH104" s="241"/>
      <c r="AI104" s="241"/>
    </row>
    <row r="105" spans="4:38" x14ac:dyDescent="0.3">
      <c r="I105" s="186" t="s">
        <v>834</v>
      </c>
      <c r="J105" s="175">
        <v>16576758.101955198</v>
      </c>
      <c r="K105" s="175">
        <v>14467591.610153597</v>
      </c>
      <c r="L105" s="175">
        <v>8413209.2199551985</v>
      </c>
      <c r="M105" s="175">
        <v>6304042.7281535994</v>
      </c>
      <c r="O105" s="86" t="s">
        <v>840</v>
      </c>
      <c r="T105" s="86" t="s">
        <v>912</v>
      </c>
      <c r="AD105" s="241" t="s">
        <v>1016</v>
      </c>
      <c r="AE105" s="241"/>
      <c r="AF105" s="241"/>
      <c r="AG105" s="241"/>
      <c r="AH105" s="241"/>
      <c r="AI105" s="241" t="s">
        <v>1017</v>
      </c>
    </row>
    <row r="106" spans="4:38" x14ac:dyDescent="0.3">
      <c r="I106" s="186" t="s">
        <v>835</v>
      </c>
      <c r="J106" s="175">
        <v>3756910.7898841305</v>
      </c>
      <c r="K106" s="175">
        <v>3425794.6878847061</v>
      </c>
      <c r="L106" s="175">
        <v>1858999.0100241294</v>
      </c>
      <c r="M106" s="175">
        <v>1527882.908024705</v>
      </c>
      <c r="O106" s="256" t="s">
        <v>1014</v>
      </c>
      <c r="P106" s="256"/>
      <c r="Q106" s="256"/>
      <c r="R106" s="256"/>
      <c r="T106" s="221" t="s">
        <v>944</v>
      </c>
      <c r="Y106" s="221" t="s">
        <v>943</v>
      </c>
      <c r="AD106" s="221" t="s">
        <v>947</v>
      </c>
      <c r="AI106" s="221" t="s">
        <v>947</v>
      </c>
    </row>
    <row r="107" spans="4:38" x14ac:dyDescent="0.3">
      <c r="H107" s="176" t="s">
        <v>821</v>
      </c>
      <c r="I107" s="238" t="s">
        <v>837</v>
      </c>
      <c r="J107" s="188" t="s">
        <v>826</v>
      </c>
      <c r="K107" s="188" t="s">
        <v>827</v>
      </c>
      <c r="L107" s="188" t="s">
        <v>828</v>
      </c>
      <c r="M107" s="188" t="s">
        <v>829</v>
      </c>
      <c r="N107" s="8"/>
      <c r="O107" s="188" t="s">
        <v>826</v>
      </c>
      <c r="P107" s="188" t="s">
        <v>827</v>
      </c>
      <c r="Q107" s="188" t="s">
        <v>828</v>
      </c>
      <c r="R107" s="188" t="s">
        <v>829</v>
      </c>
      <c r="S107" s="8"/>
      <c r="T107" s="170">
        <v>26526.524581500002</v>
      </c>
      <c r="U107" s="170">
        <v>18912.993087750001</v>
      </c>
      <c r="V107" s="170">
        <v>24137.287081499999</v>
      </c>
      <c r="W107" s="170">
        <v>16523.755587749998</v>
      </c>
      <c r="X107" s="8"/>
      <c r="Y107" s="170">
        <v>49291.144305499998</v>
      </c>
      <c r="Z107" s="170">
        <v>33761.155661750003</v>
      </c>
      <c r="AA107" s="170">
        <v>44417.6068055</v>
      </c>
      <c r="AB107" s="170">
        <v>28887.618161750001</v>
      </c>
      <c r="AC107" s="8"/>
      <c r="AD107" s="170">
        <v>2699405.9874203894</v>
      </c>
      <c r="AE107" s="170">
        <v>2462793.4230692894</v>
      </c>
      <c r="AF107" s="170">
        <v>2623418.375577989</v>
      </c>
      <c r="AG107" s="170">
        <v>2386805.8112268895</v>
      </c>
      <c r="AI107" s="170">
        <v>1240842.4515087875</v>
      </c>
      <c r="AJ107" s="170">
        <v>1004229.8871576875</v>
      </c>
      <c r="AK107" s="170">
        <v>1164854.8396663875</v>
      </c>
      <c r="AL107" s="170">
        <v>928242.27531528729</v>
      </c>
    </row>
    <row r="108" spans="4:38" x14ac:dyDescent="0.3">
      <c r="H108" s="225"/>
      <c r="I108" s="145" t="s">
        <v>983</v>
      </c>
      <c r="J108" s="101">
        <f>$C$75*J103</f>
        <v>63989731.0634</v>
      </c>
      <c r="K108" s="101">
        <f t="shared" ref="K108:M108" si="60">$C$75*K103</f>
        <v>56312383.231399998</v>
      </c>
      <c r="L108" s="101">
        <f t="shared" si="60"/>
        <v>31997434.992399998</v>
      </c>
      <c r="M108" s="101">
        <f t="shared" si="60"/>
        <v>24320087.160399999</v>
      </c>
      <c r="N108" s="207"/>
      <c r="O108" s="182">
        <f>E$77-J108</f>
        <v>309540310.93659997</v>
      </c>
      <c r="P108" s="182">
        <f t="shared" ref="P108:R111" si="61">F$77-K108</f>
        <v>284905588.76859999</v>
      </c>
      <c r="Q108" s="182">
        <f t="shared" si="61"/>
        <v>152143677.00760001</v>
      </c>
      <c r="R108" s="182">
        <f t="shared" si="61"/>
        <v>127508954.8396</v>
      </c>
      <c r="S108" s="207"/>
      <c r="T108" s="182">
        <f>O108-T$107</f>
        <v>309513784.41201848</v>
      </c>
      <c r="U108" s="182">
        <f t="shared" ref="U108:W123" si="62">P108-U$107</f>
        <v>284886675.77551222</v>
      </c>
      <c r="V108" s="182">
        <f t="shared" si="62"/>
        <v>152119539.7205185</v>
      </c>
      <c r="W108" s="182">
        <f t="shared" si="62"/>
        <v>127492431.08401224</v>
      </c>
      <c r="X108" s="207"/>
      <c r="Y108" s="182">
        <f>O108-Y$107</f>
        <v>309491019.79229444</v>
      </c>
      <c r="Z108" s="182">
        <f t="shared" ref="Z108:AB123" si="63">P108-Z$107</f>
        <v>284871827.61293823</v>
      </c>
      <c r="AA108" s="182">
        <f t="shared" si="63"/>
        <v>152099259.40079451</v>
      </c>
      <c r="AB108" s="182">
        <f t="shared" si="63"/>
        <v>127480067.22143824</v>
      </c>
      <c r="AC108" s="207"/>
      <c r="AD108" s="182">
        <f>O108-AD$107</f>
        <v>306840904.94917959</v>
      </c>
      <c r="AE108" s="182">
        <f t="shared" ref="AE108:AG123" si="64">P108-AE$107</f>
        <v>282442795.34553069</v>
      </c>
      <c r="AF108" s="182">
        <f t="shared" si="64"/>
        <v>149520258.63202202</v>
      </c>
      <c r="AG108" s="182">
        <f t="shared" si="64"/>
        <v>125122149.02837311</v>
      </c>
      <c r="AI108" s="182">
        <f>O108-AI$73</f>
        <v>308299468.48509121</v>
      </c>
      <c r="AJ108" s="182">
        <f t="shared" ref="AJ108:AL131" si="65">P108-AJ$73</f>
        <v>283901358.88144231</v>
      </c>
      <c r="AK108" s="182">
        <f t="shared" si="65"/>
        <v>150978822.16793361</v>
      </c>
      <c r="AL108" s="182">
        <f t="shared" si="65"/>
        <v>126580712.56428471</v>
      </c>
    </row>
    <row r="109" spans="4:38" x14ac:dyDescent="0.3">
      <c r="H109" s="222" t="s">
        <v>824</v>
      </c>
      <c r="I109" s="221" t="s">
        <v>833</v>
      </c>
      <c r="J109" s="101">
        <f>$C$75*J70</f>
        <v>36775184.579600006</v>
      </c>
      <c r="K109" s="101">
        <f t="shared" ref="K109:M111" si="66">$C$75*K70</f>
        <v>32256664.710800007</v>
      </c>
      <c r="L109" s="101">
        <f t="shared" si="66"/>
        <v>18533309.439600006</v>
      </c>
      <c r="M109" s="101">
        <f t="shared" si="66"/>
        <v>14014789.570800003</v>
      </c>
      <c r="O109" s="182">
        <f>E$77-J109</f>
        <v>336754857.42040002</v>
      </c>
      <c r="P109" s="182">
        <f t="shared" si="61"/>
        <v>308961307.28920001</v>
      </c>
      <c r="Q109" s="182">
        <f t="shared" si="61"/>
        <v>165607802.56040001</v>
      </c>
      <c r="R109" s="182">
        <f t="shared" si="61"/>
        <v>137814252.42919999</v>
      </c>
      <c r="T109" s="182">
        <f>O109-T$107</f>
        <v>336728330.89581853</v>
      </c>
      <c r="U109" s="182">
        <f t="shared" si="62"/>
        <v>308942394.29611224</v>
      </c>
      <c r="V109" s="182">
        <f t="shared" si="62"/>
        <v>165583665.2733185</v>
      </c>
      <c r="W109" s="182">
        <f t="shared" si="62"/>
        <v>137797728.67361224</v>
      </c>
      <c r="Y109" s="182">
        <f>O109-Y$107</f>
        <v>336705566.2760945</v>
      </c>
      <c r="Z109" s="182">
        <f t="shared" si="63"/>
        <v>308927546.13353825</v>
      </c>
      <c r="AA109" s="182">
        <f t="shared" si="63"/>
        <v>165563384.95359451</v>
      </c>
      <c r="AB109" s="182">
        <f t="shared" si="63"/>
        <v>137785364.81103826</v>
      </c>
      <c r="AD109" s="182">
        <f>O109-AD$107</f>
        <v>334055451.43297964</v>
      </c>
      <c r="AE109" s="182">
        <f t="shared" si="64"/>
        <v>306498513.86613071</v>
      </c>
      <c r="AF109" s="182">
        <f t="shared" si="64"/>
        <v>162984384.18482202</v>
      </c>
      <c r="AG109" s="182">
        <f t="shared" si="64"/>
        <v>135427446.61797309</v>
      </c>
      <c r="AI109" s="182">
        <f t="shared" ref="AI109:AI131" si="67">O109-AI$73</f>
        <v>335514014.96889126</v>
      </c>
      <c r="AJ109" s="182">
        <f t="shared" si="65"/>
        <v>307957077.40204233</v>
      </c>
      <c r="AK109" s="182">
        <f t="shared" si="65"/>
        <v>164442947.72073361</v>
      </c>
      <c r="AL109" s="182">
        <f t="shared" si="65"/>
        <v>136886010.15388471</v>
      </c>
    </row>
    <row r="110" spans="4:38" x14ac:dyDescent="0.3">
      <c r="H110" s="222" t="s">
        <v>899</v>
      </c>
      <c r="I110" s="221" t="s">
        <v>834</v>
      </c>
      <c r="J110" s="101">
        <f>$C$75*J71</f>
        <v>16576758.101955198</v>
      </c>
      <c r="K110" s="101">
        <f t="shared" si="66"/>
        <v>14467591.610153597</v>
      </c>
      <c r="L110" s="101">
        <f t="shared" si="66"/>
        <v>8413209.2199551985</v>
      </c>
      <c r="M110" s="101">
        <f t="shared" si="66"/>
        <v>6304042.7281535994</v>
      </c>
      <c r="O110" s="182">
        <f t="shared" ref="O110:O111" si="68">E$77-J110</f>
        <v>356953283.89804482</v>
      </c>
      <c r="P110" s="182">
        <f t="shared" si="61"/>
        <v>326750380.38984638</v>
      </c>
      <c r="Q110" s="182">
        <f t="shared" si="61"/>
        <v>175727902.78004479</v>
      </c>
      <c r="R110" s="182">
        <f t="shared" si="61"/>
        <v>145524999.27184641</v>
      </c>
      <c r="T110" s="182">
        <f t="shared" ref="T110:W131" si="69">O110-T$107</f>
        <v>356926757.37346333</v>
      </c>
      <c r="U110" s="182">
        <f t="shared" si="62"/>
        <v>326731467.39675862</v>
      </c>
      <c r="V110" s="182">
        <f t="shared" si="62"/>
        <v>175703765.49296328</v>
      </c>
      <c r="W110" s="182">
        <f t="shared" si="62"/>
        <v>145508475.51625866</v>
      </c>
      <c r="Y110" s="182">
        <f t="shared" ref="Y110:AB131" si="70">O110-Y$107</f>
        <v>356903992.7537393</v>
      </c>
      <c r="Z110" s="182">
        <f t="shared" si="63"/>
        <v>326716619.23418462</v>
      </c>
      <c r="AA110" s="182">
        <f t="shared" si="63"/>
        <v>175683485.17323929</v>
      </c>
      <c r="AB110" s="182">
        <f t="shared" si="63"/>
        <v>145496111.65368468</v>
      </c>
      <c r="AD110" s="182">
        <f t="shared" ref="AD110:AG131" si="71">O110-AD$107</f>
        <v>354253877.91062444</v>
      </c>
      <c r="AE110" s="182">
        <f t="shared" si="64"/>
        <v>324287586.96677709</v>
      </c>
      <c r="AF110" s="182">
        <f t="shared" si="64"/>
        <v>173104484.40446681</v>
      </c>
      <c r="AG110" s="182">
        <f t="shared" si="64"/>
        <v>143138193.46061951</v>
      </c>
      <c r="AI110" s="182">
        <f t="shared" si="67"/>
        <v>355712441.44653606</v>
      </c>
      <c r="AJ110" s="182">
        <f t="shared" si="65"/>
        <v>325746150.50268871</v>
      </c>
      <c r="AK110" s="182">
        <f t="shared" si="65"/>
        <v>174563047.9403784</v>
      </c>
      <c r="AL110" s="182">
        <f t="shared" si="65"/>
        <v>144596756.99653113</v>
      </c>
    </row>
    <row r="111" spans="4:38" x14ac:dyDescent="0.3">
      <c r="H111" s="111"/>
      <c r="I111" s="8" t="s">
        <v>835</v>
      </c>
      <c r="J111" s="170">
        <f>$C$75*J72</f>
        <v>3756910.7898841305</v>
      </c>
      <c r="K111" s="170">
        <f t="shared" si="66"/>
        <v>3425794.6878847061</v>
      </c>
      <c r="L111" s="170">
        <f t="shared" si="66"/>
        <v>1858999.0100241294</v>
      </c>
      <c r="M111" s="170">
        <f t="shared" si="66"/>
        <v>1527882.908024705</v>
      </c>
      <c r="N111" s="8"/>
      <c r="O111" s="194">
        <f t="shared" si="68"/>
        <v>369773131.21011585</v>
      </c>
      <c r="P111" s="194">
        <f t="shared" si="61"/>
        <v>337792177.31211531</v>
      </c>
      <c r="Q111" s="194">
        <f t="shared" si="61"/>
        <v>182282112.98997587</v>
      </c>
      <c r="R111" s="194">
        <f t="shared" si="61"/>
        <v>150301159.0919753</v>
      </c>
      <c r="S111" s="8"/>
      <c r="T111" s="194">
        <f t="shared" si="69"/>
        <v>369746604.68553436</v>
      </c>
      <c r="U111" s="194">
        <f t="shared" si="62"/>
        <v>337773264.31902754</v>
      </c>
      <c r="V111" s="194">
        <f t="shared" si="62"/>
        <v>182257975.70289436</v>
      </c>
      <c r="W111" s="194">
        <f t="shared" si="62"/>
        <v>150284635.33638754</v>
      </c>
      <c r="X111" s="8"/>
      <c r="Y111" s="194">
        <f t="shared" si="70"/>
        <v>369723840.06581032</v>
      </c>
      <c r="Z111" s="194">
        <f t="shared" si="63"/>
        <v>337758416.15645355</v>
      </c>
      <c r="AA111" s="194">
        <f t="shared" si="63"/>
        <v>182237695.38317037</v>
      </c>
      <c r="AB111" s="194">
        <f t="shared" si="63"/>
        <v>150272271.47381356</v>
      </c>
      <c r="AC111" s="8"/>
      <c r="AD111" s="194">
        <f t="shared" si="71"/>
        <v>367073725.22269547</v>
      </c>
      <c r="AE111" s="194">
        <f t="shared" si="64"/>
        <v>335329383.88904601</v>
      </c>
      <c r="AF111" s="194">
        <f t="shared" si="64"/>
        <v>179658694.61439788</v>
      </c>
      <c r="AG111" s="194">
        <f t="shared" si="64"/>
        <v>147914353.28074843</v>
      </c>
      <c r="AI111" s="194">
        <f t="shared" si="67"/>
        <v>368532288.75860709</v>
      </c>
      <c r="AJ111" s="194">
        <f t="shared" si="65"/>
        <v>336787947.42495763</v>
      </c>
      <c r="AK111" s="194">
        <f t="shared" si="65"/>
        <v>181117258.15030947</v>
      </c>
      <c r="AL111" s="194">
        <f t="shared" si="65"/>
        <v>149372916.81666002</v>
      </c>
    </row>
    <row r="112" spans="4:38" x14ac:dyDescent="0.3">
      <c r="H112" s="237"/>
      <c r="I112" s="145" t="s">
        <v>983</v>
      </c>
      <c r="J112" s="101">
        <f>$C$79*J103</f>
        <v>623387.96001964284</v>
      </c>
      <c r="K112" s="101">
        <f t="shared" ref="K112:M115" si="72">$C$79*K103</f>
        <v>548595.23744029878</v>
      </c>
      <c r="L112" s="101">
        <f t="shared" si="72"/>
        <v>311719.01169596083</v>
      </c>
      <c r="M112" s="101">
        <f t="shared" si="72"/>
        <v>236926.2891166168</v>
      </c>
      <c r="N112" s="207"/>
      <c r="O112" s="182">
        <f>E$81-J112</f>
        <v>3015541.7091443571</v>
      </c>
      <c r="P112" s="182">
        <f t="shared" ref="P112:R115" si="73">F$81-K112</f>
        <v>2775550.2457837015</v>
      </c>
      <c r="Q112" s="182">
        <f t="shared" si="73"/>
        <v>1482183.7014080393</v>
      </c>
      <c r="R112" s="182">
        <f t="shared" si="73"/>
        <v>1242192.2380473833</v>
      </c>
      <c r="S112" s="207"/>
      <c r="T112" s="182">
        <f t="shared" si="69"/>
        <v>2989015.1845628573</v>
      </c>
      <c r="U112" s="182">
        <f t="shared" si="62"/>
        <v>2756637.2526959516</v>
      </c>
      <c r="V112" s="182">
        <f t="shared" si="62"/>
        <v>1458046.4143265393</v>
      </c>
      <c r="W112" s="182">
        <f t="shared" si="62"/>
        <v>1225668.4824596331</v>
      </c>
      <c r="X112" s="207"/>
      <c r="Y112" s="182">
        <f t="shared" si="70"/>
        <v>2966250.5648388569</v>
      </c>
      <c r="Z112" s="182">
        <f t="shared" si="63"/>
        <v>2741789.0901219514</v>
      </c>
      <c r="AA112" s="182">
        <f t="shared" si="63"/>
        <v>1437766.0946025392</v>
      </c>
      <c r="AB112" s="182">
        <f t="shared" si="63"/>
        <v>1213304.6198856332</v>
      </c>
      <c r="AC112" s="207"/>
      <c r="AD112" s="195">
        <f t="shared" si="71"/>
        <v>316135.7217239677</v>
      </c>
      <c r="AE112" s="195">
        <f t="shared" si="64"/>
        <v>312756.82271441212</v>
      </c>
      <c r="AF112" s="184">
        <f t="shared" si="64"/>
        <v>-1141234.6741699497</v>
      </c>
      <c r="AG112" s="184">
        <f t="shared" si="64"/>
        <v>-1144613.5731795062</v>
      </c>
      <c r="AI112" s="182">
        <f t="shared" si="67"/>
        <v>1774699.2576355697</v>
      </c>
      <c r="AJ112" s="182">
        <f t="shared" si="65"/>
        <v>1771320.3586260141</v>
      </c>
      <c r="AK112" s="195">
        <f t="shared" si="65"/>
        <v>317328.86174165178</v>
      </c>
      <c r="AL112" s="195">
        <f t="shared" si="65"/>
        <v>313949.96273209597</v>
      </c>
    </row>
    <row r="113" spans="8:38" ht="28.8" x14ac:dyDescent="0.3">
      <c r="H113" s="222" t="s">
        <v>895</v>
      </c>
      <c r="I113" s="221" t="s">
        <v>833</v>
      </c>
      <c r="J113" s="101">
        <f>$C$79*J104</f>
        <v>358263.84817446326</v>
      </c>
      <c r="K113" s="101">
        <f t="shared" si="72"/>
        <v>314244.42761261371</v>
      </c>
      <c r="L113" s="101">
        <f t="shared" si="72"/>
        <v>180551.50056058326</v>
      </c>
      <c r="M113" s="101">
        <f t="shared" si="72"/>
        <v>136532.07999873362</v>
      </c>
      <c r="O113" s="182">
        <f>E$81-J113</f>
        <v>3280665.8209895371</v>
      </c>
      <c r="P113" s="182">
        <f t="shared" si="73"/>
        <v>3009901.0556113864</v>
      </c>
      <c r="Q113" s="182">
        <f t="shared" si="73"/>
        <v>1613351.2125434168</v>
      </c>
      <c r="R113" s="182">
        <f t="shared" si="73"/>
        <v>1342586.4471652664</v>
      </c>
      <c r="T113" s="182">
        <f t="shared" si="69"/>
        <v>3254139.2964080372</v>
      </c>
      <c r="U113" s="182">
        <f t="shared" si="62"/>
        <v>2990988.0625236365</v>
      </c>
      <c r="V113" s="182">
        <f t="shared" si="62"/>
        <v>1589213.9254619167</v>
      </c>
      <c r="W113" s="182">
        <f t="shared" si="62"/>
        <v>1326062.6915775165</v>
      </c>
      <c r="Y113" s="182">
        <f t="shared" si="70"/>
        <v>3231374.6766840369</v>
      </c>
      <c r="Z113" s="182">
        <f t="shared" si="63"/>
        <v>2976139.8999496363</v>
      </c>
      <c r="AA113" s="182">
        <f t="shared" si="63"/>
        <v>1568933.6057379167</v>
      </c>
      <c r="AB113" s="182">
        <f t="shared" si="63"/>
        <v>1313698.8290035164</v>
      </c>
      <c r="AD113" s="195">
        <f t="shared" si="71"/>
        <v>581259.83356914762</v>
      </c>
      <c r="AE113" s="195">
        <f t="shared" si="64"/>
        <v>547107.63254209701</v>
      </c>
      <c r="AF113" s="184">
        <f t="shared" si="64"/>
        <v>-1010067.1630345723</v>
      </c>
      <c r="AG113" s="184">
        <f t="shared" si="64"/>
        <v>-1044219.3640616231</v>
      </c>
      <c r="AI113" s="182">
        <f t="shared" si="67"/>
        <v>2039823.3694807496</v>
      </c>
      <c r="AJ113" s="182">
        <f t="shared" si="65"/>
        <v>2005671.168453699</v>
      </c>
      <c r="AK113" s="195">
        <f t="shared" si="65"/>
        <v>448496.37287702924</v>
      </c>
      <c r="AL113" s="195">
        <f t="shared" si="65"/>
        <v>414344.17184997909</v>
      </c>
    </row>
    <row r="114" spans="8:38" x14ac:dyDescent="0.3">
      <c r="H114" s="222"/>
      <c r="I114" s="221" t="s">
        <v>834</v>
      </c>
      <c r="J114" s="101">
        <f>$C$79*J105</f>
        <v>161490.77742924754</v>
      </c>
      <c r="K114" s="101">
        <f t="shared" si="72"/>
        <v>140943.27746611636</v>
      </c>
      <c r="L114" s="101">
        <f t="shared" si="72"/>
        <v>81961.484220803555</v>
      </c>
      <c r="M114" s="101">
        <f t="shared" si="72"/>
        <v>61413.984257672368</v>
      </c>
      <c r="O114" s="182">
        <f t="shared" ref="O114:O115" si="74">E$81-J114</f>
        <v>3477438.8917347523</v>
      </c>
      <c r="P114" s="182">
        <f t="shared" si="73"/>
        <v>3183202.2057578838</v>
      </c>
      <c r="Q114" s="182">
        <f t="shared" si="73"/>
        <v>1711941.2288831966</v>
      </c>
      <c r="R114" s="182">
        <f t="shared" si="73"/>
        <v>1417704.5429063276</v>
      </c>
      <c r="T114" s="182">
        <f t="shared" si="69"/>
        <v>3450912.3671532525</v>
      </c>
      <c r="U114" s="182">
        <f t="shared" si="62"/>
        <v>3164289.2126701339</v>
      </c>
      <c r="V114" s="182">
        <f t="shared" si="62"/>
        <v>1687803.9418016966</v>
      </c>
      <c r="W114" s="182">
        <f t="shared" si="62"/>
        <v>1401180.7873185775</v>
      </c>
      <c r="Y114" s="182">
        <f t="shared" si="70"/>
        <v>3428147.7474292521</v>
      </c>
      <c r="Z114" s="182">
        <f t="shared" si="63"/>
        <v>3149441.0500961337</v>
      </c>
      <c r="AA114" s="182">
        <f t="shared" si="63"/>
        <v>1667523.6220776965</v>
      </c>
      <c r="AB114" s="182">
        <f t="shared" si="63"/>
        <v>1388816.9247445776</v>
      </c>
      <c r="AD114" s="195">
        <f t="shared" si="71"/>
        <v>778032.90431436291</v>
      </c>
      <c r="AE114" s="195">
        <f t="shared" si="64"/>
        <v>720408.78268859442</v>
      </c>
      <c r="AF114" s="184">
        <f t="shared" si="64"/>
        <v>-911477.14669479243</v>
      </c>
      <c r="AG114" s="184">
        <f t="shared" si="64"/>
        <v>-969101.26832056185</v>
      </c>
      <c r="AI114" s="182">
        <f t="shared" si="67"/>
        <v>2236596.4402259649</v>
      </c>
      <c r="AJ114" s="182">
        <f t="shared" si="65"/>
        <v>2178972.3186001964</v>
      </c>
      <c r="AK114" s="195">
        <f t="shared" si="65"/>
        <v>547086.38921680907</v>
      </c>
      <c r="AL114" s="195">
        <f t="shared" si="65"/>
        <v>489462.26759104035</v>
      </c>
    </row>
    <row r="115" spans="8:38" x14ac:dyDescent="0.3">
      <c r="H115" s="111"/>
      <c r="I115" s="8" t="s">
        <v>835</v>
      </c>
      <c r="J115" s="170">
        <f>$C$79*J106</f>
        <v>36599.824915051198</v>
      </c>
      <c r="K115" s="170">
        <f t="shared" si="72"/>
        <v>33374.09184937281</v>
      </c>
      <c r="L115" s="170">
        <f t="shared" si="72"/>
        <v>18110.368355655071</v>
      </c>
      <c r="M115" s="170">
        <f t="shared" si="72"/>
        <v>14884.635289976677</v>
      </c>
      <c r="N115" s="8"/>
      <c r="O115" s="194">
        <f t="shared" si="74"/>
        <v>3602329.8442489491</v>
      </c>
      <c r="P115" s="194">
        <f t="shared" si="73"/>
        <v>3290771.3913746276</v>
      </c>
      <c r="Q115" s="194">
        <f t="shared" si="73"/>
        <v>1775792.344748345</v>
      </c>
      <c r="R115" s="194">
        <f t="shared" si="73"/>
        <v>1464233.8918740235</v>
      </c>
      <c r="S115" s="8"/>
      <c r="T115" s="194">
        <f t="shared" si="69"/>
        <v>3575803.3196674492</v>
      </c>
      <c r="U115" s="194">
        <f t="shared" si="62"/>
        <v>3271858.3982868777</v>
      </c>
      <c r="V115" s="194">
        <f t="shared" si="62"/>
        <v>1751655.0576668449</v>
      </c>
      <c r="W115" s="194">
        <f t="shared" si="62"/>
        <v>1447710.1362862736</v>
      </c>
      <c r="X115" s="8"/>
      <c r="Y115" s="194">
        <f t="shared" si="70"/>
        <v>3553038.6999434489</v>
      </c>
      <c r="Z115" s="194">
        <f t="shared" si="63"/>
        <v>3257010.2357128775</v>
      </c>
      <c r="AA115" s="194">
        <f t="shared" si="63"/>
        <v>1731374.7379428449</v>
      </c>
      <c r="AB115" s="194">
        <f t="shared" si="63"/>
        <v>1435346.2737122735</v>
      </c>
      <c r="AC115" s="8"/>
      <c r="AD115" s="196">
        <f t="shared" si="71"/>
        <v>902923.85682855966</v>
      </c>
      <c r="AE115" s="196">
        <f t="shared" si="64"/>
        <v>827977.96830533817</v>
      </c>
      <c r="AF115" s="197">
        <f t="shared" si="64"/>
        <v>-847626.03082964406</v>
      </c>
      <c r="AG115" s="197">
        <f t="shared" si="64"/>
        <v>-922571.91935286601</v>
      </c>
      <c r="AI115" s="194">
        <f t="shared" si="67"/>
        <v>2361487.3927401616</v>
      </c>
      <c r="AJ115" s="194">
        <f t="shared" si="65"/>
        <v>2286541.5042169401</v>
      </c>
      <c r="AK115" s="196">
        <f t="shared" si="65"/>
        <v>610937.50508195744</v>
      </c>
      <c r="AL115" s="196">
        <f t="shared" si="65"/>
        <v>535991.61655873619</v>
      </c>
    </row>
    <row r="116" spans="8:38" x14ac:dyDescent="0.3">
      <c r="H116" s="237"/>
      <c r="I116" s="145" t="s">
        <v>983</v>
      </c>
      <c r="J116" s="101">
        <f>$C$83*J103</f>
        <v>151207.73450281422</v>
      </c>
      <c r="K116" s="101">
        <f t="shared" ref="K116:M119" si="75">$C$83*K103</f>
        <v>133066.16157579821</v>
      </c>
      <c r="L116" s="101">
        <f t="shared" si="75"/>
        <v>75609.938887041193</v>
      </c>
      <c r="M116" s="101">
        <f t="shared" si="75"/>
        <v>57468.365960025199</v>
      </c>
      <c r="N116" s="207"/>
      <c r="O116" s="195">
        <f>E$85-J116</f>
        <v>731443.75474318583</v>
      </c>
      <c r="P116" s="195">
        <f t="shared" ref="P116:R119" si="76">F$85-K116</f>
        <v>673231.90626020182</v>
      </c>
      <c r="Q116" s="195">
        <f t="shared" si="76"/>
        <v>359515.50876895885</v>
      </c>
      <c r="R116" s="195">
        <f t="shared" si="76"/>
        <v>301303.66028597485</v>
      </c>
      <c r="S116" s="207"/>
      <c r="T116" s="195">
        <f t="shared" si="69"/>
        <v>704917.23016168585</v>
      </c>
      <c r="U116" s="195">
        <f t="shared" si="62"/>
        <v>654318.91317245178</v>
      </c>
      <c r="V116" s="195">
        <f t="shared" si="62"/>
        <v>335378.22168745886</v>
      </c>
      <c r="W116" s="195">
        <f t="shared" si="62"/>
        <v>284779.90469822485</v>
      </c>
      <c r="X116" s="207"/>
      <c r="Y116" s="195">
        <f t="shared" si="70"/>
        <v>682152.61043768586</v>
      </c>
      <c r="Z116" s="195">
        <f t="shared" si="63"/>
        <v>639470.75059845182</v>
      </c>
      <c r="AA116" s="195">
        <f t="shared" si="63"/>
        <v>315097.90196345886</v>
      </c>
      <c r="AB116" s="195">
        <f t="shared" si="63"/>
        <v>272416.04212422483</v>
      </c>
      <c r="AC116" s="207"/>
      <c r="AD116" s="184">
        <f t="shared" si="71"/>
        <v>-1967962.2326772036</v>
      </c>
      <c r="AE116" s="184">
        <f t="shared" si="64"/>
        <v>-1789561.5168090877</v>
      </c>
      <c r="AF116" s="184">
        <f t="shared" si="64"/>
        <v>-2263902.8668090301</v>
      </c>
      <c r="AG116" s="184">
        <f t="shared" si="64"/>
        <v>-2085502.1509409146</v>
      </c>
      <c r="AI116" s="184">
        <f t="shared" si="67"/>
        <v>-509398.69676560163</v>
      </c>
      <c r="AJ116" s="184">
        <f t="shared" si="65"/>
        <v>-330997.98089748563</v>
      </c>
      <c r="AK116" s="184">
        <f t="shared" si="65"/>
        <v>-805339.33089742868</v>
      </c>
      <c r="AL116" s="184">
        <f t="shared" si="65"/>
        <v>-626938.61502931244</v>
      </c>
    </row>
    <row r="117" spans="8:38" ht="28.8" x14ac:dyDescent="0.3">
      <c r="H117" s="222" t="s">
        <v>896</v>
      </c>
      <c r="I117" s="221" t="s">
        <v>833</v>
      </c>
      <c r="J117" s="101">
        <f>$C$83*J104</f>
        <v>86899.761161594812</v>
      </c>
      <c r="K117" s="101">
        <f t="shared" si="75"/>
        <v>76222.498711620414</v>
      </c>
      <c r="L117" s="101">
        <f t="shared" si="75"/>
        <v>43794.210205774812</v>
      </c>
      <c r="M117" s="101">
        <f t="shared" si="75"/>
        <v>33116.947755800407</v>
      </c>
      <c r="O117" s="195">
        <f>E$85-J117</f>
        <v>795751.7280844053</v>
      </c>
      <c r="P117" s="195">
        <f t="shared" si="76"/>
        <v>730075.56912437954</v>
      </c>
      <c r="Q117" s="195">
        <f t="shared" si="76"/>
        <v>391331.23745022522</v>
      </c>
      <c r="R117" s="195">
        <f t="shared" si="76"/>
        <v>325655.07849019964</v>
      </c>
      <c r="T117" s="195">
        <f t="shared" si="69"/>
        <v>769225.20350290532</v>
      </c>
      <c r="U117" s="195">
        <f t="shared" si="62"/>
        <v>711162.5760366295</v>
      </c>
      <c r="V117" s="195">
        <f t="shared" si="62"/>
        <v>367193.95036872523</v>
      </c>
      <c r="W117" s="195">
        <f t="shared" si="62"/>
        <v>309131.32290244964</v>
      </c>
      <c r="Y117" s="195">
        <f t="shared" si="70"/>
        <v>746460.58377890533</v>
      </c>
      <c r="Z117" s="195">
        <f t="shared" si="63"/>
        <v>696314.41346262954</v>
      </c>
      <c r="AA117" s="195">
        <f t="shared" si="63"/>
        <v>346913.63064472523</v>
      </c>
      <c r="AB117" s="195">
        <f t="shared" si="63"/>
        <v>296767.46032844961</v>
      </c>
      <c r="AD117" s="184">
        <f t="shared" si="71"/>
        <v>-1903654.259335984</v>
      </c>
      <c r="AE117" s="184">
        <f t="shared" si="64"/>
        <v>-1732717.8539449098</v>
      </c>
      <c r="AF117" s="184">
        <f t="shared" si="64"/>
        <v>-2232087.1381277638</v>
      </c>
      <c r="AG117" s="184">
        <f t="shared" si="64"/>
        <v>-2061150.73273669</v>
      </c>
      <c r="AI117" s="184">
        <f t="shared" si="67"/>
        <v>-445090.72342438216</v>
      </c>
      <c r="AJ117" s="184">
        <f t="shared" si="65"/>
        <v>-274154.31803330791</v>
      </c>
      <c r="AK117" s="184">
        <f t="shared" si="65"/>
        <v>-773523.60221616225</v>
      </c>
      <c r="AL117" s="184">
        <f t="shared" si="65"/>
        <v>-602587.19682508765</v>
      </c>
    </row>
    <row r="118" spans="8:38" x14ac:dyDescent="0.3">
      <c r="H118" s="222"/>
      <c r="I118" s="221" t="s">
        <v>834</v>
      </c>
      <c r="J118" s="101">
        <f>$C$83*J105</f>
        <v>39170.879394920135</v>
      </c>
      <c r="K118" s="101">
        <f t="shared" si="75"/>
        <v>34186.918974792949</v>
      </c>
      <c r="L118" s="101">
        <f t="shared" si="75"/>
        <v>19880.413386754135</v>
      </c>
      <c r="M118" s="101">
        <f t="shared" si="75"/>
        <v>14896.452966626955</v>
      </c>
      <c r="O118" s="195">
        <f t="shared" ref="O118:O119" si="77">E$85-J118</f>
        <v>843480.60985107999</v>
      </c>
      <c r="P118" s="195">
        <f t="shared" si="76"/>
        <v>772111.14886120707</v>
      </c>
      <c r="Q118" s="195">
        <f t="shared" si="76"/>
        <v>415245.03426924592</v>
      </c>
      <c r="R118" s="195">
        <f t="shared" si="76"/>
        <v>343875.57327937306</v>
      </c>
      <c r="T118" s="195">
        <f t="shared" si="69"/>
        <v>816954.08526958001</v>
      </c>
      <c r="U118" s="195">
        <f t="shared" si="62"/>
        <v>753198.15577345702</v>
      </c>
      <c r="V118" s="195">
        <f t="shared" si="62"/>
        <v>391107.74718774593</v>
      </c>
      <c r="W118" s="195">
        <f t="shared" si="62"/>
        <v>327351.81769162306</v>
      </c>
      <c r="Y118" s="195">
        <f t="shared" si="70"/>
        <v>794189.46554558002</v>
      </c>
      <c r="Z118" s="195">
        <f t="shared" si="63"/>
        <v>738349.99319945707</v>
      </c>
      <c r="AA118" s="195">
        <f t="shared" si="63"/>
        <v>370827.42746374593</v>
      </c>
      <c r="AB118" s="195">
        <f t="shared" si="63"/>
        <v>314987.95511762303</v>
      </c>
      <c r="AD118" s="184">
        <f t="shared" si="71"/>
        <v>-1855925.3775693094</v>
      </c>
      <c r="AE118" s="184">
        <f t="shared" si="64"/>
        <v>-1690682.2742080824</v>
      </c>
      <c r="AF118" s="184">
        <f t="shared" si="64"/>
        <v>-2208173.3413087432</v>
      </c>
      <c r="AG118" s="184">
        <f t="shared" si="64"/>
        <v>-2042930.2379475164</v>
      </c>
      <c r="AI118" s="184">
        <f t="shared" si="67"/>
        <v>-397361.84165770747</v>
      </c>
      <c r="AJ118" s="184">
        <f t="shared" si="65"/>
        <v>-232118.73829648038</v>
      </c>
      <c r="AK118" s="184">
        <f t="shared" si="65"/>
        <v>-749609.80539714161</v>
      </c>
      <c r="AL118" s="184">
        <f t="shared" si="65"/>
        <v>-584366.70203591418</v>
      </c>
    </row>
    <row r="119" spans="8:38" x14ac:dyDescent="0.3">
      <c r="H119" s="111"/>
      <c r="I119" s="8" t="s">
        <v>835</v>
      </c>
      <c r="J119" s="170">
        <f>$C$83*J106</f>
        <v>8877.5801964962011</v>
      </c>
      <c r="K119" s="170">
        <f t="shared" si="75"/>
        <v>8095.1528474715606</v>
      </c>
      <c r="L119" s="170">
        <f t="shared" si="75"/>
        <v>4392.8146606870177</v>
      </c>
      <c r="M119" s="170">
        <f t="shared" si="75"/>
        <v>3610.3873116623781</v>
      </c>
      <c r="N119" s="8"/>
      <c r="O119" s="196">
        <f t="shared" si="77"/>
        <v>873773.90904950385</v>
      </c>
      <c r="P119" s="196">
        <f t="shared" si="76"/>
        <v>798202.91498852847</v>
      </c>
      <c r="Q119" s="196">
        <f t="shared" si="76"/>
        <v>430732.63299531303</v>
      </c>
      <c r="R119" s="196">
        <f t="shared" si="76"/>
        <v>355161.63893433765</v>
      </c>
      <c r="S119" s="8"/>
      <c r="T119" s="196">
        <f t="shared" si="69"/>
        <v>847247.38446800387</v>
      </c>
      <c r="U119" s="196">
        <f t="shared" si="62"/>
        <v>779289.92190077843</v>
      </c>
      <c r="V119" s="196">
        <f t="shared" si="62"/>
        <v>406595.34591381304</v>
      </c>
      <c r="W119" s="196">
        <f t="shared" si="62"/>
        <v>338637.88334658765</v>
      </c>
      <c r="X119" s="8"/>
      <c r="Y119" s="196">
        <f t="shared" si="70"/>
        <v>824482.76474400389</v>
      </c>
      <c r="Z119" s="196">
        <f t="shared" si="63"/>
        <v>764441.75932677847</v>
      </c>
      <c r="AA119" s="196">
        <f t="shared" si="63"/>
        <v>386315.02618981304</v>
      </c>
      <c r="AB119" s="196">
        <f t="shared" si="63"/>
        <v>326274.02077258762</v>
      </c>
      <c r="AC119" s="8"/>
      <c r="AD119" s="197">
        <f t="shared" si="71"/>
        <v>-1825632.0783708855</v>
      </c>
      <c r="AE119" s="197">
        <f t="shared" si="64"/>
        <v>-1664590.5080807609</v>
      </c>
      <c r="AF119" s="197">
        <f t="shared" si="64"/>
        <v>-2192685.742582676</v>
      </c>
      <c r="AG119" s="197">
        <f t="shared" si="64"/>
        <v>-2031644.172292552</v>
      </c>
      <c r="AI119" s="197">
        <f t="shared" si="67"/>
        <v>-367068.54245928361</v>
      </c>
      <c r="AJ119" s="197">
        <f t="shared" si="65"/>
        <v>-206026.97216915898</v>
      </c>
      <c r="AK119" s="197">
        <f t="shared" si="65"/>
        <v>-734122.2066710745</v>
      </c>
      <c r="AL119" s="197">
        <f t="shared" si="65"/>
        <v>-573080.63638094964</v>
      </c>
    </row>
    <row r="120" spans="8:38" x14ac:dyDescent="0.3">
      <c r="H120" s="237"/>
      <c r="I120" s="145" t="s">
        <v>983</v>
      </c>
      <c r="J120" s="101">
        <f>$C$87*J103</f>
        <v>19324.898781146803</v>
      </c>
      <c r="K120" s="101">
        <f t="shared" ref="K120:M123" si="78">$C$87*K103</f>
        <v>17006.339735882801</v>
      </c>
      <c r="L120" s="101">
        <f t="shared" si="78"/>
        <v>9663.2253677047993</v>
      </c>
      <c r="M120" s="101">
        <f t="shared" si="78"/>
        <v>7344.6663224408003</v>
      </c>
      <c r="N120" s="207"/>
      <c r="O120" s="195">
        <f>E$89-J120</f>
        <v>93481.173902853217</v>
      </c>
      <c r="P120" s="195">
        <f t="shared" ref="P120:R123" si="79">F$89-K120</f>
        <v>86041.487808117206</v>
      </c>
      <c r="Q120" s="183">
        <f t="shared" si="79"/>
        <v>45947.390456295208</v>
      </c>
      <c r="R120" s="183">
        <f t="shared" si="79"/>
        <v>38507.704361559197</v>
      </c>
      <c r="S120" s="207"/>
      <c r="T120" s="183">
        <f t="shared" si="69"/>
        <v>66954.649321353209</v>
      </c>
      <c r="U120" s="183">
        <f t="shared" si="62"/>
        <v>67128.494720367205</v>
      </c>
      <c r="V120" s="183">
        <f t="shared" si="62"/>
        <v>21810.10337479521</v>
      </c>
      <c r="W120" s="183">
        <f t="shared" si="62"/>
        <v>21983.948773809199</v>
      </c>
      <c r="X120" s="207"/>
      <c r="Y120" s="183">
        <f t="shared" si="70"/>
        <v>44190.029597353219</v>
      </c>
      <c r="Z120" s="183">
        <f t="shared" si="63"/>
        <v>52280.332146367204</v>
      </c>
      <c r="AA120" s="183">
        <f t="shared" si="63"/>
        <v>1529.7836507952088</v>
      </c>
      <c r="AB120" s="183">
        <f t="shared" si="63"/>
        <v>9620.0861998091968</v>
      </c>
      <c r="AC120" s="207"/>
      <c r="AD120" s="184">
        <f t="shared" si="71"/>
        <v>-2605924.813517536</v>
      </c>
      <c r="AE120" s="184">
        <f t="shared" si="64"/>
        <v>-2376751.9352611722</v>
      </c>
      <c r="AF120" s="184">
        <f t="shared" si="64"/>
        <v>-2577470.9851216939</v>
      </c>
      <c r="AG120" s="184">
        <f t="shared" si="64"/>
        <v>-2348298.1068653301</v>
      </c>
      <c r="AI120" s="184">
        <f t="shared" si="67"/>
        <v>-1147361.2776059343</v>
      </c>
      <c r="AJ120" s="184">
        <f t="shared" si="65"/>
        <v>-918188.39934957027</v>
      </c>
      <c r="AK120" s="184">
        <f t="shared" si="65"/>
        <v>-1118907.4492100924</v>
      </c>
      <c r="AL120" s="184">
        <f t="shared" si="65"/>
        <v>-889734.57095372805</v>
      </c>
    </row>
    <row r="121" spans="8:38" ht="28.8" x14ac:dyDescent="0.3">
      <c r="H121" s="222" t="s">
        <v>897</v>
      </c>
      <c r="I121" s="221" t="s">
        <v>833</v>
      </c>
      <c r="J121" s="101">
        <f>$C$87*J104</f>
        <v>11106.105743039203</v>
      </c>
      <c r="K121" s="101">
        <f t="shared" si="78"/>
        <v>9741.5127426616036</v>
      </c>
      <c r="L121" s="101">
        <f t="shared" si="78"/>
        <v>5597.0594507592023</v>
      </c>
      <c r="M121" s="101">
        <f t="shared" si="78"/>
        <v>4232.4664503816011</v>
      </c>
      <c r="O121" s="195">
        <f>E$89-J121</f>
        <v>101699.96694096082</v>
      </c>
      <c r="P121" s="195">
        <f t="shared" si="79"/>
        <v>93306.314801338405</v>
      </c>
      <c r="Q121" s="183">
        <f t="shared" si="79"/>
        <v>50013.556373240805</v>
      </c>
      <c r="R121" s="183">
        <f t="shared" si="79"/>
        <v>41619.904233618399</v>
      </c>
      <c r="T121" s="183">
        <f t="shared" si="69"/>
        <v>75173.442359460809</v>
      </c>
      <c r="U121" s="183">
        <f t="shared" si="62"/>
        <v>74393.321713588404</v>
      </c>
      <c r="V121" s="183">
        <f t="shared" si="62"/>
        <v>25876.269291740806</v>
      </c>
      <c r="W121" s="183">
        <f t="shared" si="62"/>
        <v>25096.148645868401</v>
      </c>
      <c r="Y121" s="183">
        <f t="shared" si="70"/>
        <v>52408.82263546082</v>
      </c>
      <c r="Z121" s="183">
        <f t="shared" si="63"/>
        <v>59545.159139588402</v>
      </c>
      <c r="AA121" s="183">
        <f t="shared" si="63"/>
        <v>5595.9495677408049</v>
      </c>
      <c r="AB121" s="183">
        <f t="shared" si="63"/>
        <v>12732.286071868399</v>
      </c>
      <c r="AD121" s="184">
        <f t="shared" si="71"/>
        <v>-2597706.0204794286</v>
      </c>
      <c r="AE121" s="184">
        <f t="shared" si="64"/>
        <v>-2369487.1082679508</v>
      </c>
      <c r="AF121" s="184">
        <f t="shared" si="64"/>
        <v>-2573404.8192047481</v>
      </c>
      <c r="AG121" s="184">
        <f t="shared" si="64"/>
        <v>-2345185.9069932713</v>
      </c>
      <c r="AI121" s="184">
        <f t="shared" si="67"/>
        <v>-1139142.4845678266</v>
      </c>
      <c r="AJ121" s="184">
        <f t="shared" si="65"/>
        <v>-910923.57235634909</v>
      </c>
      <c r="AK121" s="184">
        <f t="shared" si="65"/>
        <v>-1114841.2832931466</v>
      </c>
      <c r="AL121" s="184">
        <f t="shared" si="65"/>
        <v>-886622.37108166888</v>
      </c>
    </row>
    <row r="122" spans="8:38" x14ac:dyDescent="0.3">
      <c r="H122" s="222"/>
      <c r="I122" s="221" t="s">
        <v>834</v>
      </c>
      <c r="J122" s="101">
        <f>$C$87*J105</f>
        <v>5006.1809467904704</v>
      </c>
      <c r="K122" s="101">
        <f t="shared" si="78"/>
        <v>4369.2126662663868</v>
      </c>
      <c r="L122" s="101">
        <f t="shared" si="78"/>
        <v>2540.78918442647</v>
      </c>
      <c r="M122" s="101">
        <f t="shared" si="78"/>
        <v>1903.8209039023873</v>
      </c>
      <c r="O122" s="195">
        <f t="shared" ref="O122:O123" si="80">E$89-J122</f>
        <v>107799.89173720955</v>
      </c>
      <c r="P122" s="195">
        <f t="shared" si="79"/>
        <v>98678.614877733635</v>
      </c>
      <c r="Q122" s="183">
        <f t="shared" si="79"/>
        <v>53069.826639573541</v>
      </c>
      <c r="R122" s="183">
        <f t="shared" si="79"/>
        <v>43948.549780097615</v>
      </c>
      <c r="T122" s="183">
        <f t="shared" si="69"/>
        <v>81273.367155709537</v>
      </c>
      <c r="U122" s="183">
        <f t="shared" si="62"/>
        <v>79765.621789983634</v>
      </c>
      <c r="V122" s="183">
        <f t="shared" si="62"/>
        <v>28932.539558073542</v>
      </c>
      <c r="W122" s="183">
        <f t="shared" si="62"/>
        <v>27424.794192347617</v>
      </c>
      <c r="Y122" s="183">
        <f t="shared" si="70"/>
        <v>58508.747431709548</v>
      </c>
      <c r="Z122" s="183">
        <f t="shared" si="63"/>
        <v>64917.459215983632</v>
      </c>
      <c r="AA122" s="183">
        <f t="shared" si="63"/>
        <v>8652.2198340735413</v>
      </c>
      <c r="AB122" s="183">
        <f t="shared" si="63"/>
        <v>15060.931618347615</v>
      </c>
      <c r="AD122" s="184">
        <f t="shared" si="71"/>
        <v>-2591606.0956831798</v>
      </c>
      <c r="AE122" s="184">
        <f t="shared" si="64"/>
        <v>-2364114.8081915556</v>
      </c>
      <c r="AF122" s="184">
        <f t="shared" si="64"/>
        <v>-2570348.5489384155</v>
      </c>
      <c r="AG122" s="184">
        <f t="shared" si="64"/>
        <v>-2342857.2614467917</v>
      </c>
      <c r="AI122" s="184">
        <f t="shared" si="67"/>
        <v>-1133042.5597715778</v>
      </c>
      <c r="AJ122" s="184">
        <f t="shared" si="65"/>
        <v>-905551.27227995382</v>
      </c>
      <c r="AK122" s="184">
        <f t="shared" si="65"/>
        <v>-1111785.013026814</v>
      </c>
      <c r="AL122" s="184">
        <f t="shared" si="65"/>
        <v>-884293.72553518973</v>
      </c>
    </row>
    <row r="123" spans="8:38" x14ac:dyDescent="0.3">
      <c r="H123" s="111"/>
      <c r="I123" s="8" t="s">
        <v>835</v>
      </c>
      <c r="J123" s="170">
        <f>$C$87*J106</f>
        <v>1134.5870585450075</v>
      </c>
      <c r="K123" s="170">
        <f t="shared" si="78"/>
        <v>1034.5899957411814</v>
      </c>
      <c r="L123" s="170">
        <f t="shared" si="78"/>
        <v>561.41770102728708</v>
      </c>
      <c r="M123" s="170">
        <f t="shared" si="78"/>
        <v>461.42063822346097</v>
      </c>
      <c r="N123" s="8"/>
      <c r="O123" s="196">
        <f t="shared" si="80"/>
        <v>111671.48562545501</v>
      </c>
      <c r="P123" s="196">
        <f t="shared" si="79"/>
        <v>102013.23754825884</v>
      </c>
      <c r="Q123" s="193">
        <f t="shared" si="79"/>
        <v>55049.198122972717</v>
      </c>
      <c r="R123" s="193">
        <f t="shared" si="79"/>
        <v>45390.950045776539</v>
      </c>
      <c r="S123" s="8"/>
      <c r="T123" s="193">
        <f t="shared" si="69"/>
        <v>85144.961043955002</v>
      </c>
      <c r="U123" s="193">
        <f t="shared" si="62"/>
        <v>83100.244460508839</v>
      </c>
      <c r="V123" s="193">
        <f t="shared" si="62"/>
        <v>30911.911041472718</v>
      </c>
      <c r="W123" s="193">
        <f t="shared" si="62"/>
        <v>28867.194458026541</v>
      </c>
      <c r="X123" s="8"/>
      <c r="Y123" s="193">
        <f t="shared" si="70"/>
        <v>62380.341319955012</v>
      </c>
      <c r="Z123" s="193">
        <f t="shared" si="63"/>
        <v>68252.081886508837</v>
      </c>
      <c r="AA123" s="193">
        <f t="shared" si="63"/>
        <v>10631.591317472717</v>
      </c>
      <c r="AB123" s="193">
        <f t="shared" si="63"/>
        <v>16503.331884026538</v>
      </c>
      <c r="AC123" s="8"/>
      <c r="AD123" s="197">
        <f t="shared" si="71"/>
        <v>-2587734.5017949343</v>
      </c>
      <c r="AE123" s="197">
        <f t="shared" si="64"/>
        <v>-2360780.1855210308</v>
      </c>
      <c r="AF123" s="197">
        <f t="shared" si="64"/>
        <v>-2568369.1774550164</v>
      </c>
      <c r="AG123" s="197">
        <f t="shared" si="64"/>
        <v>-2341414.8611811129</v>
      </c>
      <c r="AI123" s="197">
        <f t="shared" si="67"/>
        <v>-1129170.9658833325</v>
      </c>
      <c r="AJ123" s="197">
        <f t="shared" si="65"/>
        <v>-902216.6496094286</v>
      </c>
      <c r="AK123" s="197">
        <f t="shared" si="65"/>
        <v>-1109805.6415434149</v>
      </c>
      <c r="AL123" s="197">
        <f t="shared" si="65"/>
        <v>-882851.32526951074</v>
      </c>
    </row>
    <row r="124" spans="8:38" x14ac:dyDescent="0.3">
      <c r="H124" s="237"/>
      <c r="I124" s="145" t="s">
        <v>983</v>
      </c>
      <c r="J124" s="101">
        <f>$C$91*J103</f>
        <v>1407.7740833948001</v>
      </c>
      <c r="K124" s="101">
        <f t="shared" ref="K124:M127" si="81">$C$91*K103</f>
        <v>1238.8724310907999</v>
      </c>
      <c r="L124" s="101">
        <f t="shared" si="81"/>
        <v>703.94356983279999</v>
      </c>
      <c r="M124" s="101">
        <f t="shared" si="81"/>
        <v>535.04191752880001</v>
      </c>
      <c r="N124" s="207"/>
      <c r="O124" s="184">
        <f>E$93-J124</f>
        <v>6809.8868406051997</v>
      </c>
      <c r="P124" s="184">
        <f t="shared" ref="P124:R127" si="82">F$93-K124</f>
        <v>6267.9229529091999</v>
      </c>
      <c r="Q124" s="184">
        <f t="shared" si="82"/>
        <v>3347.1608941672002</v>
      </c>
      <c r="R124" s="184">
        <f t="shared" si="82"/>
        <v>2805.1970064711995</v>
      </c>
      <c r="S124" s="207"/>
      <c r="T124" s="184">
        <f t="shared" si="69"/>
        <v>-19716.637740894803</v>
      </c>
      <c r="U124" s="184">
        <f t="shared" si="69"/>
        <v>-12645.0701348408</v>
      </c>
      <c r="V124" s="184">
        <f t="shared" si="69"/>
        <v>-20790.126187332797</v>
      </c>
      <c r="W124" s="184">
        <f t="shared" si="69"/>
        <v>-13718.558581278798</v>
      </c>
      <c r="X124" s="207"/>
      <c r="Y124" s="184">
        <f t="shared" si="70"/>
        <v>-42481.257464894799</v>
      </c>
      <c r="Z124" s="184">
        <f t="shared" si="70"/>
        <v>-27493.232708840802</v>
      </c>
      <c r="AA124" s="184">
        <f t="shared" si="70"/>
        <v>-41070.445911332798</v>
      </c>
      <c r="AB124" s="184">
        <f t="shared" si="70"/>
        <v>-26082.4211552788</v>
      </c>
      <c r="AC124" s="207"/>
      <c r="AD124" s="184">
        <f t="shared" si="71"/>
        <v>-2692596.1005797843</v>
      </c>
      <c r="AE124" s="184">
        <f t="shared" si="71"/>
        <v>-2456525.5001163804</v>
      </c>
      <c r="AF124" s="184">
        <f t="shared" si="71"/>
        <v>-2620071.2146838219</v>
      </c>
      <c r="AG124" s="184">
        <f t="shared" si="71"/>
        <v>-2384000.6142204185</v>
      </c>
      <c r="AI124" s="184">
        <f t="shared" si="67"/>
        <v>-1234032.5646681823</v>
      </c>
      <c r="AJ124" s="184">
        <f t="shared" si="65"/>
        <v>-997961.9642047782</v>
      </c>
      <c r="AK124" s="184">
        <f t="shared" si="65"/>
        <v>-1161507.6787722204</v>
      </c>
      <c r="AL124" s="184">
        <f t="shared" si="65"/>
        <v>-925437.07830881607</v>
      </c>
    </row>
    <row r="125" spans="8:38" ht="28.8" x14ac:dyDescent="0.3">
      <c r="H125" s="222" t="s">
        <v>898</v>
      </c>
      <c r="I125" s="221" t="s">
        <v>833</v>
      </c>
      <c r="J125" s="101">
        <f>$C$91*J104</f>
        <v>809.05406075120015</v>
      </c>
      <c r="K125" s="101">
        <f t="shared" si="81"/>
        <v>709.6466236376001</v>
      </c>
      <c r="L125" s="101">
        <f t="shared" si="81"/>
        <v>407.73280767120013</v>
      </c>
      <c r="M125" s="101">
        <f t="shared" si="81"/>
        <v>308.32537055760002</v>
      </c>
      <c r="O125" s="184">
        <f>E$93-J125</f>
        <v>7408.6068632487995</v>
      </c>
      <c r="P125" s="184">
        <f t="shared" si="82"/>
        <v>6797.1487603624</v>
      </c>
      <c r="Q125" s="184">
        <f t="shared" si="82"/>
        <v>3643.3716563287999</v>
      </c>
      <c r="R125" s="184">
        <f t="shared" si="82"/>
        <v>3031.9135534423999</v>
      </c>
      <c r="T125" s="184">
        <f t="shared" si="69"/>
        <v>-19117.917718251203</v>
      </c>
      <c r="U125" s="184">
        <f t="shared" si="69"/>
        <v>-12115.8443273876</v>
      </c>
      <c r="V125" s="184">
        <f t="shared" si="69"/>
        <v>-20493.915425171199</v>
      </c>
      <c r="W125" s="184">
        <f t="shared" si="69"/>
        <v>-13491.842034307598</v>
      </c>
      <c r="Y125" s="184">
        <f t="shared" si="70"/>
        <v>-41882.537442251196</v>
      </c>
      <c r="Z125" s="184">
        <f t="shared" si="70"/>
        <v>-26964.006901387602</v>
      </c>
      <c r="AA125" s="184">
        <f t="shared" si="70"/>
        <v>-40774.235149171203</v>
      </c>
      <c r="AB125" s="184">
        <f t="shared" si="70"/>
        <v>-25855.704608307602</v>
      </c>
      <c r="AD125" s="184">
        <f t="shared" si="71"/>
        <v>-2691997.3805571408</v>
      </c>
      <c r="AE125" s="184">
        <f t="shared" si="71"/>
        <v>-2455996.2743089269</v>
      </c>
      <c r="AF125" s="184">
        <f t="shared" si="71"/>
        <v>-2619775.0039216601</v>
      </c>
      <c r="AG125" s="184">
        <f t="shared" si="71"/>
        <v>-2383773.8976734472</v>
      </c>
      <c r="AI125" s="184">
        <f t="shared" si="67"/>
        <v>-1233433.8446455386</v>
      </c>
      <c r="AJ125" s="184">
        <f t="shared" si="65"/>
        <v>-997432.73839732504</v>
      </c>
      <c r="AK125" s="184">
        <f t="shared" si="65"/>
        <v>-1161211.4680100586</v>
      </c>
      <c r="AL125" s="184">
        <f t="shared" si="65"/>
        <v>-925210.36176184483</v>
      </c>
    </row>
    <row r="126" spans="8:38" x14ac:dyDescent="0.3">
      <c r="H126" s="222"/>
      <c r="I126" s="221" t="s">
        <v>834</v>
      </c>
      <c r="J126" s="101">
        <f>$C$91*J105</f>
        <v>364.68867824301435</v>
      </c>
      <c r="K126" s="101">
        <f t="shared" si="81"/>
        <v>318.2870154233791</v>
      </c>
      <c r="L126" s="101">
        <f t="shared" si="81"/>
        <v>185.09060283901437</v>
      </c>
      <c r="M126" s="101">
        <f t="shared" si="81"/>
        <v>138.68894001937917</v>
      </c>
      <c r="O126" s="184">
        <f t="shared" ref="O126:O127" si="83">E$93-J126</f>
        <v>7852.9722457569851</v>
      </c>
      <c r="P126" s="184">
        <f t="shared" si="82"/>
        <v>7188.5083685766213</v>
      </c>
      <c r="Q126" s="184">
        <f t="shared" si="82"/>
        <v>3866.0138611609855</v>
      </c>
      <c r="R126" s="184">
        <f t="shared" si="82"/>
        <v>3201.5499839806207</v>
      </c>
      <c r="T126" s="184">
        <f t="shared" si="69"/>
        <v>-18673.552335743017</v>
      </c>
      <c r="U126" s="184">
        <f t="shared" si="69"/>
        <v>-11724.484719173379</v>
      </c>
      <c r="V126" s="184">
        <f t="shared" si="69"/>
        <v>-20271.273220339011</v>
      </c>
      <c r="W126" s="184">
        <f t="shared" si="69"/>
        <v>-13322.205603769376</v>
      </c>
      <c r="Y126" s="184">
        <f t="shared" si="70"/>
        <v>-41438.17205974301</v>
      </c>
      <c r="Z126" s="184">
        <f t="shared" si="70"/>
        <v>-26572.647293173381</v>
      </c>
      <c r="AA126" s="184">
        <f t="shared" si="70"/>
        <v>-40551.592944339012</v>
      </c>
      <c r="AB126" s="184">
        <f t="shared" si="70"/>
        <v>-25686.068177769379</v>
      </c>
      <c r="AD126" s="184">
        <f t="shared" si="71"/>
        <v>-2691553.0151746324</v>
      </c>
      <c r="AE126" s="184">
        <f t="shared" si="71"/>
        <v>-2455604.914700713</v>
      </c>
      <c r="AF126" s="184">
        <f t="shared" si="71"/>
        <v>-2619552.3617168278</v>
      </c>
      <c r="AG126" s="184">
        <f t="shared" si="71"/>
        <v>-2383604.2612429089</v>
      </c>
      <c r="AI126" s="184">
        <f t="shared" si="67"/>
        <v>-1232989.4792630305</v>
      </c>
      <c r="AJ126" s="184">
        <f t="shared" si="65"/>
        <v>-997041.37878911081</v>
      </c>
      <c r="AK126" s="184">
        <f t="shared" si="65"/>
        <v>-1160988.8258052266</v>
      </c>
      <c r="AL126" s="184">
        <f t="shared" si="65"/>
        <v>-925040.72533130669</v>
      </c>
    </row>
    <row r="127" spans="8:38" x14ac:dyDescent="0.3">
      <c r="H127" s="111"/>
      <c r="I127" s="8" t="s">
        <v>835</v>
      </c>
      <c r="J127" s="170">
        <f>$C$91*J106</f>
        <v>82.652037377450867</v>
      </c>
      <c r="K127" s="170">
        <f t="shared" si="81"/>
        <v>75.367483133463537</v>
      </c>
      <c r="L127" s="170">
        <f t="shared" si="81"/>
        <v>40.897978220530845</v>
      </c>
      <c r="M127" s="170">
        <f t="shared" si="81"/>
        <v>33.613423976543508</v>
      </c>
      <c r="N127" s="8"/>
      <c r="O127" s="197">
        <f t="shared" si="83"/>
        <v>8135.0088866225487</v>
      </c>
      <c r="P127" s="197">
        <f t="shared" si="82"/>
        <v>7431.4279008665362</v>
      </c>
      <c r="Q127" s="197">
        <f t="shared" si="82"/>
        <v>4010.2064857794689</v>
      </c>
      <c r="R127" s="197">
        <f t="shared" si="82"/>
        <v>3306.6255000234564</v>
      </c>
      <c r="S127" s="8"/>
      <c r="T127" s="197">
        <f t="shared" si="69"/>
        <v>-18391.515694877453</v>
      </c>
      <c r="U127" s="197">
        <f t="shared" si="69"/>
        <v>-11481.565186883465</v>
      </c>
      <c r="V127" s="197">
        <f t="shared" si="69"/>
        <v>-20127.08059572053</v>
      </c>
      <c r="W127" s="197">
        <f t="shared" si="69"/>
        <v>-13217.130087726542</v>
      </c>
      <c r="X127" s="8"/>
      <c r="Y127" s="197">
        <f t="shared" si="70"/>
        <v>-41156.135418877449</v>
      </c>
      <c r="Z127" s="197">
        <f t="shared" si="70"/>
        <v>-26329.727760883467</v>
      </c>
      <c r="AA127" s="197">
        <f t="shared" si="70"/>
        <v>-40407.400319720531</v>
      </c>
      <c r="AB127" s="197">
        <f t="shared" si="70"/>
        <v>-25580.992661726545</v>
      </c>
      <c r="AC127" s="8"/>
      <c r="AD127" s="197">
        <f t="shared" si="71"/>
        <v>-2691270.9785337667</v>
      </c>
      <c r="AE127" s="197">
        <f t="shared" si="71"/>
        <v>-2455361.9951684228</v>
      </c>
      <c r="AF127" s="197">
        <f t="shared" si="71"/>
        <v>-2619408.1690922095</v>
      </c>
      <c r="AG127" s="197">
        <f t="shared" si="71"/>
        <v>-2383499.1857268661</v>
      </c>
      <c r="AI127" s="197">
        <f t="shared" si="67"/>
        <v>-1232707.442622165</v>
      </c>
      <c r="AJ127" s="197">
        <f t="shared" si="65"/>
        <v>-996798.45925682096</v>
      </c>
      <c r="AK127" s="197">
        <f t="shared" si="65"/>
        <v>-1160844.633180608</v>
      </c>
      <c r="AL127" s="197">
        <f t="shared" si="65"/>
        <v>-924935.64981526381</v>
      </c>
    </row>
    <row r="128" spans="8:38" x14ac:dyDescent="0.3">
      <c r="H128" s="237"/>
      <c r="I128" s="145" t="s">
        <v>983</v>
      </c>
      <c r="J128" s="101">
        <f>$C$95*J103</f>
        <v>191.9691931902</v>
      </c>
      <c r="K128" s="101">
        <f t="shared" ref="K128:M131" si="84">$C$95*K103</f>
        <v>168.9371496942</v>
      </c>
      <c r="L128" s="101">
        <f t="shared" si="84"/>
        <v>95.992304977199993</v>
      </c>
      <c r="M128" s="101">
        <f t="shared" si="84"/>
        <v>72.960261481200007</v>
      </c>
      <c r="N128" s="207"/>
      <c r="O128" s="184">
        <f>E$97-J128</f>
        <v>928.62093280980002</v>
      </c>
      <c r="P128" s="184">
        <f t="shared" ref="P128:R131" si="85">F$97-K128</f>
        <v>854.71676630579998</v>
      </c>
      <c r="Q128" s="184">
        <f t="shared" si="85"/>
        <v>456.43103102280008</v>
      </c>
      <c r="R128" s="184">
        <f t="shared" si="85"/>
        <v>382.52686451879998</v>
      </c>
      <c r="S128" s="207"/>
      <c r="T128" s="184">
        <f t="shared" si="69"/>
        <v>-25597.9036486902</v>
      </c>
      <c r="U128" s="184">
        <f t="shared" si="69"/>
        <v>-18058.276321444202</v>
      </c>
      <c r="V128" s="184">
        <f t="shared" si="69"/>
        <v>-23680.856050477199</v>
      </c>
      <c r="W128" s="184">
        <f t="shared" si="69"/>
        <v>-16141.228723231197</v>
      </c>
      <c r="X128" s="207"/>
      <c r="Y128" s="184">
        <f t="shared" si="70"/>
        <v>-48362.523372690201</v>
      </c>
      <c r="Z128" s="184">
        <f t="shared" si="70"/>
        <v>-32906.438895444204</v>
      </c>
      <c r="AA128" s="184">
        <f t="shared" si="70"/>
        <v>-43961.175774477197</v>
      </c>
      <c r="AB128" s="184">
        <f t="shared" si="70"/>
        <v>-28505.0912972312</v>
      </c>
      <c r="AC128" s="207"/>
      <c r="AD128" s="184">
        <f t="shared" si="71"/>
        <v>-2698477.3664875794</v>
      </c>
      <c r="AE128" s="184">
        <f t="shared" si="71"/>
        <v>-2461938.7063029837</v>
      </c>
      <c r="AF128" s="184">
        <f t="shared" si="71"/>
        <v>-2622961.9445469663</v>
      </c>
      <c r="AG128" s="184">
        <f t="shared" si="71"/>
        <v>-2386423.2843623706</v>
      </c>
      <c r="AI128" s="184">
        <f t="shared" si="67"/>
        <v>-1239913.8305759777</v>
      </c>
      <c r="AJ128" s="184">
        <f t="shared" si="65"/>
        <v>-1003375.1703913816</v>
      </c>
      <c r="AK128" s="184">
        <f t="shared" si="65"/>
        <v>-1164398.4086353648</v>
      </c>
      <c r="AL128" s="184">
        <f t="shared" si="65"/>
        <v>-927859.74845076853</v>
      </c>
    </row>
    <row r="129" spans="8:38" x14ac:dyDescent="0.3">
      <c r="H129" s="222" t="s">
        <v>825</v>
      </c>
      <c r="I129" s="221" t="s">
        <v>833</v>
      </c>
      <c r="J129" s="101">
        <f>$C$95*J104</f>
        <v>110.32555373880002</v>
      </c>
      <c r="K129" s="101">
        <f t="shared" si="84"/>
        <v>96.769994132400029</v>
      </c>
      <c r="L129" s="101">
        <f t="shared" si="84"/>
        <v>55.599928318800018</v>
      </c>
      <c r="M129" s="101">
        <f t="shared" si="84"/>
        <v>42.044368712400008</v>
      </c>
      <c r="O129" s="184">
        <f>E$97-J129</f>
        <v>1010.2645722612</v>
      </c>
      <c r="P129" s="184">
        <f t="shared" si="85"/>
        <v>926.88392186759995</v>
      </c>
      <c r="Q129" s="184">
        <f t="shared" si="85"/>
        <v>496.82340768120002</v>
      </c>
      <c r="R129" s="184">
        <f t="shared" si="85"/>
        <v>413.44275728759999</v>
      </c>
      <c r="T129" s="184">
        <f t="shared" si="69"/>
        <v>-25516.260009238802</v>
      </c>
      <c r="U129" s="184">
        <f t="shared" si="69"/>
        <v>-17986.109165882401</v>
      </c>
      <c r="V129" s="184">
        <f t="shared" si="69"/>
        <v>-23640.463673818798</v>
      </c>
      <c r="W129" s="184">
        <f t="shared" si="69"/>
        <v>-16110.312830462399</v>
      </c>
      <c r="Y129" s="184">
        <f t="shared" si="70"/>
        <v>-48280.879733238799</v>
      </c>
      <c r="Z129" s="184">
        <f t="shared" si="70"/>
        <v>-32834.271739882402</v>
      </c>
      <c r="AA129" s="184">
        <f t="shared" si="70"/>
        <v>-43920.783397818799</v>
      </c>
      <c r="AB129" s="184">
        <f t="shared" si="70"/>
        <v>-28474.175404462399</v>
      </c>
      <c r="AD129" s="184">
        <f t="shared" si="71"/>
        <v>-2698395.7228481281</v>
      </c>
      <c r="AE129" s="184">
        <f t="shared" si="71"/>
        <v>-2461866.5391474217</v>
      </c>
      <c r="AF129" s="184">
        <f t="shared" si="71"/>
        <v>-2622921.5521703078</v>
      </c>
      <c r="AG129" s="184">
        <f t="shared" si="71"/>
        <v>-2386392.368469602</v>
      </c>
      <c r="AI129" s="184">
        <f t="shared" si="67"/>
        <v>-1239832.1869365263</v>
      </c>
      <c r="AJ129" s="184">
        <f t="shared" si="65"/>
        <v>-1003303.0032358199</v>
      </c>
      <c r="AK129" s="184">
        <f t="shared" si="65"/>
        <v>-1164358.0162587063</v>
      </c>
      <c r="AL129" s="184">
        <f t="shared" si="65"/>
        <v>-927828.83255799965</v>
      </c>
    </row>
    <row r="130" spans="8:38" x14ac:dyDescent="0.3">
      <c r="H130" s="221" t="s">
        <v>900</v>
      </c>
      <c r="I130" s="221" t="s">
        <v>834</v>
      </c>
      <c r="J130" s="101">
        <f>$C$95*J105</f>
        <v>49.730274305865592</v>
      </c>
      <c r="K130" s="101">
        <f t="shared" si="84"/>
        <v>43.402774830460793</v>
      </c>
      <c r="L130" s="101">
        <f t="shared" si="84"/>
        <v>25.239627659865597</v>
      </c>
      <c r="M130" s="101">
        <f t="shared" si="84"/>
        <v>18.912128184460798</v>
      </c>
      <c r="O130" s="184">
        <f t="shared" ref="O130:O131" si="86">E$97-J130</f>
        <v>1070.8598516941345</v>
      </c>
      <c r="P130" s="184">
        <f t="shared" si="85"/>
        <v>980.25114116953921</v>
      </c>
      <c r="Q130" s="184">
        <f t="shared" si="85"/>
        <v>527.18370834013444</v>
      </c>
      <c r="R130" s="184">
        <f t="shared" si="85"/>
        <v>436.57499781553918</v>
      </c>
      <c r="T130" s="184">
        <f t="shared" si="69"/>
        <v>-25455.664729805867</v>
      </c>
      <c r="U130" s="184">
        <f t="shared" si="69"/>
        <v>-17932.741946580463</v>
      </c>
      <c r="V130" s="184">
        <f t="shared" si="69"/>
        <v>-23610.103373159865</v>
      </c>
      <c r="W130" s="184">
        <f t="shared" si="69"/>
        <v>-16087.180589934458</v>
      </c>
      <c r="Y130" s="184">
        <f t="shared" si="70"/>
        <v>-48220.284453805863</v>
      </c>
      <c r="Z130" s="184">
        <f t="shared" si="70"/>
        <v>-32780.904520580465</v>
      </c>
      <c r="AA130" s="184">
        <f t="shared" si="70"/>
        <v>-43890.423097159866</v>
      </c>
      <c r="AB130" s="184">
        <f t="shared" si="70"/>
        <v>-28451.043163934461</v>
      </c>
      <c r="AD130" s="184">
        <f t="shared" si="71"/>
        <v>-2698335.1275686952</v>
      </c>
      <c r="AE130" s="184">
        <f t="shared" si="71"/>
        <v>-2461813.1719281198</v>
      </c>
      <c r="AF130" s="184">
        <f t="shared" si="71"/>
        <v>-2622891.1918696491</v>
      </c>
      <c r="AG130" s="184">
        <f t="shared" si="71"/>
        <v>-2386369.2362290737</v>
      </c>
      <c r="AI130" s="184">
        <f t="shared" si="67"/>
        <v>-1239771.5916570933</v>
      </c>
      <c r="AJ130" s="184">
        <f t="shared" si="65"/>
        <v>-1003249.6360165179</v>
      </c>
      <c r="AK130" s="184">
        <f t="shared" si="65"/>
        <v>-1164327.6559580474</v>
      </c>
      <c r="AL130" s="184">
        <f t="shared" si="65"/>
        <v>-927805.70031747175</v>
      </c>
    </row>
    <row r="131" spans="8:38" x14ac:dyDescent="0.3">
      <c r="H131" s="8"/>
      <c r="I131" s="8" t="s">
        <v>835</v>
      </c>
      <c r="J131" s="170">
        <f>$C$95*J106</f>
        <v>11.270732369652391</v>
      </c>
      <c r="K131" s="170">
        <f t="shared" si="84"/>
        <v>10.277384063654118</v>
      </c>
      <c r="L131" s="170">
        <f t="shared" si="84"/>
        <v>5.5769970300723886</v>
      </c>
      <c r="M131" s="170">
        <f t="shared" si="84"/>
        <v>4.5836487240741155</v>
      </c>
      <c r="N131" s="8"/>
      <c r="O131" s="197">
        <f t="shared" si="86"/>
        <v>1109.3193936303476</v>
      </c>
      <c r="P131" s="197">
        <f t="shared" si="85"/>
        <v>1013.3765319363458</v>
      </c>
      <c r="Q131" s="197">
        <f t="shared" si="85"/>
        <v>546.84633896992773</v>
      </c>
      <c r="R131" s="197">
        <f t="shared" si="85"/>
        <v>450.90347727592587</v>
      </c>
      <c r="S131" s="8"/>
      <c r="T131" s="197">
        <f t="shared" si="69"/>
        <v>-25417.205187869655</v>
      </c>
      <c r="U131" s="197">
        <f t="shared" si="69"/>
        <v>-17899.616555813656</v>
      </c>
      <c r="V131" s="197">
        <f t="shared" si="69"/>
        <v>-23590.440742530071</v>
      </c>
      <c r="W131" s="197">
        <f t="shared" si="69"/>
        <v>-16072.852110474072</v>
      </c>
      <c r="X131" s="8"/>
      <c r="Y131" s="197">
        <f t="shared" si="70"/>
        <v>-48181.824911869648</v>
      </c>
      <c r="Z131" s="197">
        <f t="shared" si="70"/>
        <v>-32747.779129813658</v>
      </c>
      <c r="AA131" s="197">
        <f t="shared" si="70"/>
        <v>-43870.760466530075</v>
      </c>
      <c r="AB131" s="197">
        <f t="shared" si="70"/>
        <v>-28436.714684474075</v>
      </c>
      <c r="AC131" s="8"/>
      <c r="AD131" s="197">
        <f t="shared" si="71"/>
        <v>-2698296.6680267593</v>
      </c>
      <c r="AE131" s="197">
        <f t="shared" si="71"/>
        <v>-2461780.0465373532</v>
      </c>
      <c r="AF131" s="197">
        <f t="shared" si="71"/>
        <v>-2622871.5292390189</v>
      </c>
      <c r="AG131" s="197">
        <f t="shared" si="71"/>
        <v>-2386354.9077496137</v>
      </c>
      <c r="AI131" s="197">
        <f t="shared" si="67"/>
        <v>-1239733.1321151571</v>
      </c>
      <c r="AJ131" s="197">
        <f t="shared" si="65"/>
        <v>-1003216.5106257511</v>
      </c>
      <c r="AK131" s="197">
        <f t="shared" si="65"/>
        <v>-1164307.9933274176</v>
      </c>
      <c r="AL131" s="197">
        <f t="shared" si="65"/>
        <v>-927791.37183801131</v>
      </c>
    </row>
    <row r="133" spans="8:38" x14ac:dyDescent="0.3">
      <c r="M133" s="1" t="s">
        <v>843</v>
      </c>
      <c r="N133" s="1" t="s">
        <v>986</v>
      </c>
      <c r="O133" s="1">
        <v>0.40960840178444213</v>
      </c>
      <c r="P133" s="1">
        <v>0.35855944533812095</v>
      </c>
      <c r="Q133" s="1">
        <v>0.2291322834261367</v>
      </c>
      <c r="R133" s="1">
        <v>8.0200688386664221E-2</v>
      </c>
    </row>
    <row r="134" spans="8:38" x14ac:dyDescent="0.3">
      <c r="N134" s="1" t="s">
        <v>806</v>
      </c>
      <c r="O134" s="1">
        <v>0.41407987659676371</v>
      </c>
      <c r="P134" s="1">
        <v>0.36137165735219817</v>
      </c>
      <c r="Q134" s="1">
        <v>0.23531859212845216</v>
      </c>
      <c r="R134" s="1">
        <v>8.1102241718736881E-2</v>
      </c>
    </row>
    <row r="135" spans="8:38" x14ac:dyDescent="0.3">
      <c r="N135" s="1" t="s">
        <v>807</v>
      </c>
      <c r="O135" s="1">
        <v>0.41633308032444749</v>
      </c>
      <c r="P135" s="1">
        <v>0.36238230715363873</v>
      </c>
      <c r="Q135" s="1">
        <v>0.23932915099909713</v>
      </c>
      <c r="R135" s="1">
        <v>8.1456150697915744E-2</v>
      </c>
    </row>
    <row r="136" spans="8:38" x14ac:dyDescent="0.3">
      <c r="N136" s="1" t="s">
        <v>808</v>
      </c>
      <c r="O136" s="1">
        <v>0.41787480506438923</v>
      </c>
      <c r="P136" s="1">
        <v>0.36276127588133006</v>
      </c>
      <c r="Q136" s="1">
        <v>0.24274742064225102</v>
      </c>
      <c r="R136" s="1">
        <v>8.1619855320133716E-2</v>
      </c>
    </row>
    <row r="137" spans="8:38" x14ac:dyDescent="0.3">
      <c r="M137" s="1" t="s">
        <v>987</v>
      </c>
      <c r="N137" s="1" t="s">
        <v>986</v>
      </c>
      <c r="O137" s="1">
        <v>6.6363083127507175E-2</v>
      </c>
      <c r="P137" s="1">
        <v>7.2101251066311059E-2</v>
      </c>
      <c r="Q137" s="1">
        <v>0.13501743739882049</v>
      </c>
      <c r="R137" s="1">
        <v>0.16110279793165028</v>
      </c>
    </row>
    <row r="138" spans="8:38" x14ac:dyDescent="0.3">
      <c r="N138" s="1" t="s">
        <v>806</v>
      </c>
      <c r="O138" s="1">
        <v>6.5930531741915752E-2</v>
      </c>
      <c r="P138" s="1">
        <v>7.1861512404909816E-2</v>
      </c>
      <c r="Q138" s="1">
        <v>0.13406630891260327</v>
      </c>
      <c r="R138" s="1">
        <v>0.16110399632147018</v>
      </c>
    </row>
    <row r="139" spans="8:38" x14ac:dyDescent="0.3">
      <c r="N139" s="1" t="s">
        <v>807</v>
      </c>
      <c r="O139" s="1">
        <v>6.5360734072721582E-2</v>
      </c>
      <c r="P139" s="1">
        <v>7.14022999373677E-2</v>
      </c>
      <c r="Q139" s="1">
        <v>0.1327662158151823</v>
      </c>
      <c r="R139" s="1">
        <v>0.16032110484097706</v>
      </c>
    </row>
    <row r="140" spans="8:38" x14ac:dyDescent="0.3">
      <c r="N140" s="1" t="s">
        <v>808</v>
      </c>
      <c r="O140" s="1">
        <v>6.4702459591799988E-2</v>
      </c>
      <c r="P140" s="1">
        <v>7.0828256801664449E-2</v>
      </c>
      <c r="Q140" s="1">
        <v>0.13125386077553083</v>
      </c>
      <c r="R140" s="1">
        <v>0.1591819465983963</v>
      </c>
    </row>
    <row r="141" spans="8:38" x14ac:dyDescent="0.3">
      <c r="M141" s="1" t="s">
        <v>845</v>
      </c>
      <c r="N141" s="1" t="s">
        <v>986</v>
      </c>
      <c r="O141" s="1">
        <v>0.52402851508805071</v>
      </c>
      <c r="P141" s="1">
        <v>0.56933930359556806</v>
      </c>
      <c r="Q141" s="1">
        <v>0.63585027917504278</v>
      </c>
      <c r="R141" s="1">
        <v>0.75869651368168556</v>
      </c>
    </row>
    <row r="142" spans="8:38" x14ac:dyDescent="0.3">
      <c r="N142" s="1" t="s">
        <v>806</v>
      </c>
      <c r="O142" s="1">
        <v>0.51998959166132053</v>
      </c>
      <c r="P142" s="1">
        <v>0.56676683024289198</v>
      </c>
      <c r="Q142" s="1">
        <v>0.63061509895894452</v>
      </c>
      <c r="R142" s="1">
        <v>0.75779376195979298</v>
      </c>
    </row>
    <row r="143" spans="8:38" x14ac:dyDescent="0.3">
      <c r="N143" s="1" t="s">
        <v>807</v>
      </c>
      <c r="O143" s="1">
        <v>0.51830618560283082</v>
      </c>
      <c r="P143" s="1">
        <v>0.56621539290899359</v>
      </c>
      <c r="Q143" s="1">
        <v>0.62790463318572065</v>
      </c>
      <c r="R143" s="1">
        <v>0.75822274446110716</v>
      </c>
    </row>
    <row r="144" spans="8:38" x14ac:dyDescent="0.3">
      <c r="N144" s="1" t="s">
        <v>808</v>
      </c>
      <c r="O144" s="1">
        <v>0.51742273534381078</v>
      </c>
      <c r="P144" s="1">
        <v>0.56641046731700551</v>
      </c>
      <c r="Q144" s="1">
        <v>0.62599871858221812</v>
      </c>
      <c r="R144" s="1">
        <v>0.75919819808147015</v>
      </c>
    </row>
    <row r="146" spans="13:33" x14ac:dyDescent="0.3">
      <c r="N146" s="1" t="s">
        <v>855</v>
      </c>
      <c r="T146" s="221" t="s">
        <v>944</v>
      </c>
      <c r="Y146" s="221" t="s">
        <v>943</v>
      </c>
      <c r="AD146" s="221" t="s">
        <v>946</v>
      </c>
    </row>
    <row r="147" spans="13:33" x14ac:dyDescent="0.3">
      <c r="M147" s="176" t="s">
        <v>821</v>
      </c>
      <c r="O147" s="188" t="s">
        <v>826</v>
      </c>
      <c r="P147" s="188" t="s">
        <v>827</v>
      </c>
      <c r="Q147" s="188" t="s">
        <v>828</v>
      </c>
      <c r="R147" s="188" t="s">
        <v>829</v>
      </c>
      <c r="T147" s="170">
        <v>26526.524581500002</v>
      </c>
      <c r="U147" s="170">
        <v>18912.993087750001</v>
      </c>
      <c r="V147" s="170">
        <v>24137.287081499999</v>
      </c>
      <c r="W147" s="170">
        <v>16523.755587749998</v>
      </c>
      <c r="X147" s="8"/>
      <c r="Y147" s="170">
        <v>49291.144305499998</v>
      </c>
      <c r="Z147" s="170">
        <v>33761.155661750003</v>
      </c>
      <c r="AA147" s="170">
        <v>44417.6068055</v>
      </c>
      <c r="AB147" s="170">
        <v>28887.618161750001</v>
      </c>
      <c r="AC147" s="8"/>
      <c r="AD147" s="170">
        <f>Y147*15</f>
        <v>739367.1645825</v>
      </c>
      <c r="AE147" s="170">
        <f>Z147*15</f>
        <v>506417.33492625004</v>
      </c>
      <c r="AF147" s="170">
        <f>AA147*15</f>
        <v>666264.1020825</v>
      </c>
      <c r="AG147" s="170">
        <f>AB147*15</f>
        <v>433314.27242624998</v>
      </c>
    </row>
    <row r="148" spans="13:33" x14ac:dyDescent="0.3">
      <c r="M148" s="225"/>
      <c r="O148" s="182">
        <f>O108*O133</f>
        <v>126790312.05059999</v>
      </c>
      <c r="P148" s="182">
        <f t="shared" ref="P148:R148" si="87">P108*P133</f>
        <v>102155589.88259999</v>
      </c>
      <c r="Q148" s="182">
        <f t="shared" si="87"/>
        <v>34861028.121600002</v>
      </c>
      <c r="R148" s="182">
        <f t="shared" si="87"/>
        <v>10226305.953600001</v>
      </c>
      <c r="T148" s="182">
        <f>O148-T$147</f>
        <v>126763785.52601849</v>
      </c>
      <c r="U148" s="182">
        <f t="shared" ref="U148:W163" si="88">P148-U$147</f>
        <v>102136676.88951224</v>
      </c>
      <c r="V148" s="182">
        <f t="shared" si="88"/>
        <v>34836890.8345185</v>
      </c>
      <c r="W148" s="182">
        <f t="shared" si="88"/>
        <v>10209782.198012251</v>
      </c>
      <c r="Y148" s="182">
        <f>O148-Y$147</f>
        <v>126741020.90629449</v>
      </c>
      <c r="Z148" s="182">
        <f t="shared" ref="Z148:AB163" si="89">P148-Z$147</f>
        <v>102121828.72693825</v>
      </c>
      <c r="AA148" s="182">
        <f t="shared" si="89"/>
        <v>34816610.514794499</v>
      </c>
      <c r="AB148" s="182">
        <f t="shared" si="89"/>
        <v>10197418.335438251</v>
      </c>
      <c r="AC148" s="207"/>
      <c r="AD148" s="182">
        <f>O148-AD$147</f>
        <v>126050944.88601749</v>
      </c>
      <c r="AE148" s="182">
        <f t="shared" ref="AE148:AG163" si="90">P148-AE$147</f>
        <v>101649172.54767375</v>
      </c>
      <c r="AF148" s="182">
        <f t="shared" si="90"/>
        <v>34194764.019517504</v>
      </c>
      <c r="AG148" s="182">
        <f t="shared" si="90"/>
        <v>9792991.6811737511</v>
      </c>
    </row>
    <row r="149" spans="13:33" x14ac:dyDescent="0.3">
      <c r="M149" s="222" t="s">
        <v>824</v>
      </c>
      <c r="O149" s="182">
        <f t="shared" ref="O149:R151" si="91">O109*O134</f>
        <v>139443409.80399999</v>
      </c>
      <c r="P149" s="182">
        <f t="shared" si="91"/>
        <v>111649859.67279999</v>
      </c>
      <c r="Q149" s="182">
        <f t="shared" si="91"/>
        <v>38970594.944000006</v>
      </c>
      <c r="R149" s="182">
        <f t="shared" si="91"/>
        <v>11177044.812799999</v>
      </c>
      <c r="T149" s="182">
        <f>O149-T$147</f>
        <v>139416883.2794185</v>
      </c>
      <c r="U149" s="182">
        <f t="shared" si="88"/>
        <v>111630946.67971224</v>
      </c>
      <c r="V149" s="182">
        <f t="shared" si="88"/>
        <v>38946457.656918503</v>
      </c>
      <c r="W149" s="182">
        <f t="shared" si="88"/>
        <v>11160521.05721225</v>
      </c>
      <c r="Y149" s="182">
        <f>O149-Y$147</f>
        <v>139394118.65969449</v>
      </c>
      <c r="Z149" s="182">
        <f t="shared" si="89"/>
        <v>111616098.51713824</v>
      </c>
      <c r="AA149" s="182">
        <f t="shared" si="89"/>
        <v>38926177.337194502</v>
      </c>
      <c r="AB149" s="182">
        <f t="shared" si="89"/>
        <v>11148157.19463825</v>
      </c>
      <c r="AD149" s="182">
        <f>O149-AD$147</f>
        <v>138704042.6394175</v>
      </c>
      <c r="AE149" s="182">
        <f t="shared" si="90"/>
        <v>111143442.33787374</v>
      </c>
      <c r="AF149" s="182">
        <f t="shared" si="90"/>
        <v>38304330.841917507</v>
      </c>
      <c r="AG149" s="182">
        <f t="shared" si="90"/>
        <v>10743730.54037375</v>
      </c>
    </row>
    <row r="150" spans="13:33" x14ac:dyDescent="0.3">
      <c r="M150" s="222" t="s">
        <v>899</v>
      </c>
      <c r="O150" s="182">
        <f t="shared" si="91"/>
        <v>148611460.21720001</v>
      </c>
      <c r="P150" s="182">
        <f t="shared" si="91"/>
        <v>118408556.7090016</v>
      </c>
      <c r="Q150" s="182">
        <f t="shared" si="91"/>
        <v>42056809.779200003</v>
      </c>
      <c r="R150" s="182">
        <f t="shared" si="91"/>
        <v>11853906.2710016</v>
      </c>
      <c r="T150" s="182">
        <f t="shared" ref="T150:W171" si="92">O150-T$147</f>
        <v>148584933.69261852</v>
      </c>
      <c r="U150" s="182">
        <f t="shared" si="88"/>
        <v>118389643.71591385</v>
      </c>
      <c r="V150" s="182">
        <f t="shared" si="88"/>
        <v>42032672.4921185</v>
      </c>
      <c r="W150" s="182">
        <f t="shared" si="88"/>
        <v>11837382.515413851</v>
      </c>
      <c r="Y150" s="182">
        <f t="shared" ref="Y150:AB171" si="93">O150-Y$147</f>
        <v>148562169.07289451</v>
      </c>
      <c r="Z150" s="182">
        <f t="shared" si="89"/>
        <v>118374795.55333985</v>
      </c>
      <c r="AA150" s="182">
        <f t="shared" si="89"/>
        <v>42012392.172394499</v>
      </c>
      <c r="AB150" s="182">
        <f t="shared" si="89"/>
        <v>11825018.652839851</v>
      </c>
      <c r="AD150" s="182">
        <f t="shared" ref="AD150:AG171" si="94">O150-AD$147</f>
        <v>147872093.05261752</v>
      </c>
      <c r="AE150" s="182">
        <f t="shared" si="90"/>
        <v>117902139.37407535</v>
      </c>
      <c r="AF150" s="182">
        <f t="shared" si="90"/>
        <v>41390545.677117504</v>
      </c>
      <c r="AG150" s="182">
        <f t="shared" si="90"/>
        <v>11420591.99857535</v>
      </c>
    </row>
    <row r="151" spans="13:33" x14ac:dyDescent="0.3">
      <c r="M151" s="111"/>
      <c r="N151" s="8"/>
      <c r="O151" s="194">
        <f t="shared" si="91"/>
        <v>154518875.12247598</v>
      </c>
      <c r="P151" s="194">
        <f t="shared" si="91"/>
        <v>122537921.22447543</v>
      </c>
      <c r="Q151" s="194">
        <f t="shared" si="91"/>
        <v>44248512.757536002</v>
      </c>
      <c r="R151" s="194">
        <f t="shared" si="91"/>
        <v>12267558.859535424</v>
      </c>
      <c r="T151" s="194">
        <f t="shared" si="92"/>
        <v>154492348.59789449</v>
      </c>
      <c r="U151" s="194">
        <f t="shared" si="88"/>
        <v>122519008.23138767</v>
      </c>
      <c r="V151" s="194">
        <f t="shared" si="88"/>
        <v>44224375.470454499</v>
      </c>
      <c r="W151" s="194">
        <f t="shared" si="88"/>
        <v>12251035.103947675</v>
      </c>
      <c r="Y151" s="194">
        <f t="shared" si="93"/>
        <v>154469583.97817048</v>
      </c>
      <c r="Z151" s="194">
        <f t="shared" si="89"/>
        <v>122504160.06881368</v>
      </c>
      <c r="AA151" s="194">
        <f t="shared" si="89"/>
        <v>44204095.150730498</v>
      </c>
      <c r="AB151" s="194">
        <f t="shared" si="89"/>
        <v>12238671.241373675</v>
      </c>
      <c r="AC151" s="8"/>
      <c r="AD151" s="194">
        <f t="shared" si="94"/>
        <v>153779507.95789349</v>
      </c>
      <c r="AE151" s="194">
        <f t="shared" si="90"/>
        <v>122031503.88954918</v>
      </c>
      <c r="AF151" s="194">
        <f t="shared" si="90"/>
        <v>43582248.655453503</v>
      </c>
      <c r="AG151" s="194">
        <f t="shared" si="90"/>
        <v>11834244.587109175</v>
      </c>
    </row>
    <row r="152" spans="13:33" x14ac:dyDescent="0.3">
      <c r="M152" s="237"/>
      <c r="N152" s="207"/>
      <c r="O152" s="182">
        <f>O112*O133</f>
        <v>1235191.2199969452</v>
      </c>
      <c r="P152" s="182">
        <f t="shared" ref="P152:R152" si="95">P112*P133</f>
        <v>995199.7566362893</v>
      </c>
      <c r="Q152" s="195">
        <f t="shared" si="95"/>
        <v>339616.13596062723</v>
      </c>
      <c r="R152" s="195">
        <f t="shared" si="95"/>
        <v>99624.672599971207</v>
      </c>
      <c r="T152" s="182">
        <f t="shared" si="92"/>
        <v>1208664.6954154451</v>
      </c>
      <c r="U152" s="182">
        <f t="shared" si="88"/>
        <v>976286.76354853925</v>
      </c>
      <c r="V152" s="195">
        <f t="shared" si="88"/>
        <v>315478.84887912724</v>
      </c>
      <c r="W152" s="195">
        <f t="shared" si="88"/>
        <v>83100.917012221209</v>
      </c>
      <c r="Y152" s="182">
        <f t="shared" si="93"/>
        <v>1185900.0756914453</v>
      </c>
      <c r="Z152" s="182">
        <f t="shared" si="89"/>
        <v>961438.60097453929</v>
      </c>
      <c r="AA152" s="195">
        <f t="shared" si="89"/>
        <v>295198.52915512724</v>
      </c>
      <c r="AB152" s="183">
        <f t="shared" si="89"/>
        <v>70737.05443822121</v>
      </c>
      <c r="AC152" s="207"/>
      <c r="AD152" s="195">
        <f t="shared" si="94"/>
        <v>495824.05541444523</v>
      </c>
      <c r="AE152" s="195">
        <f t="shared" si="90"/>
        <v>488782.42171003926</v>
      </c>
      <c r="AF152" s="184">
        <f t="shared" si="90"/>
        <v>-326647.96612187277</v>
      </c>
      <c r="AG152" s="184">
        <f t="shared" si="90"/>
        <v>-333689.59982627875</v>
      </c>
    </row>
    <row r="153" spans="13:33" ht="28.8" x14ac:dyDescent="0.3">
      <c r="M153" s="222" t="s">
        <v>895</v>
      </c>
      <c r="O153" s="182">
        <f t="shared" ref="O153:R155" si="96">O113*O134</f>
        <v>1358457.698310568</v>
      </c>
      <c r="P153" s="182">
        <f t="shared" si="96"/>
        <v>1087692.9329324176</v>
      </c>
      <c r="Q153" s="195">
        <f t="shared" si="96"/>
        <v>379651.53594444803</v>
      </c>
      <c r="R153" s="195">
        <f t="shared" si="96"/>
        <v>108886.77056629759</v>
      </c>
      <c r="T153" s="182">
        <f t="shared" si="92"/>
        <v>1331931.1737290679</v>
      </c>
      <c r="U153" s="182">
        <f t="shared" si="88"/>
        <v>1068779.9398446677</v>
      </c>
      <c r="V153" s="195">
        <f t="shared" si="88"/>
        <v>355514.24886294804</v>
      </c>
      <c r="W153" s="195">
        <f t="shared" si="88"/>
        <v>92363.014978547595</v>
      </c>
      <c r="Y153" s="182">
        <f t="shared" si="93"/>
        <v>1309166.554005068</v>
      </c>
      <c r="Z153" s="182">
        <f t="shared" si="89"/>
        <v>1053931.7772706677</v>
      </c>
      <c r="AA153" s="195">
        <f t="shared" si="89"/>
        <v>335233.92913894803</v>
      </c>
      <c r="AB153" s="183">
        <f t="shared" si="89"/>
        <v>79999.152404547596</v>
      </c>
      <c r="AD153" s="195">
        <f t="shared" si="94"/>
        <v>619090.533728068</v>
      </c>
      <c r="AE153" s="195">
        <f t="shared" si="90"/>
        <v>581275.59800616757</v>
      </c>
      <c r="AF153" s="184">
        <f t="shared" si="90"/>
        <v>-286612.56613805197</v>
      </c>
      <c r="AG153" s="184">
        <f t="shared" si="90"/>
        <v>-324427.5018599524</v>
      </c>
    </row>
    <row r="154" spans="13:33" x14ac:dyDescent="0.3">
      <c r="M154" s="222"/>
      <c r="O154" s="182">
        <f t="shared" si="96"/>
        <v>1447772.8454359623</v>
      </c>
      <c r="P154" s="182">
        <f t="shared" si="96"/>
        <v>1153536.1594590938</v>
      </c>
      <c r="Q154" s="195">
        <f t="shared" si="96"/>
        <v>409717.44086896646</v>
      </c>
      <c r="R154" s="195">
        <f t="shared" si="96"/>
        <v>115480.75489209758</v>
      </c>
      <c r="T154" s="182">
        <f t="shared" si="92"/>
        <v>1421246.3208544622</v>
      </c>
      <c r="U154" s="182">
        <f t="shared" si="88"/>
        <v>1134623.1663713439</v>
      </c>
      <c r="V154" s="195">
        <f t="shared" si="88"/>
        <v>385580.15378746646</v>
      </c>
      <c r="W154" s="195">
        <f t="shared" si="88"/>
        <v>98956.999304347584</v>
      </c>
      <c r="Y154" s="182">
        <f t="shared" si="93"/>
        <v>1398481.7011304623</v>
      </c>
      <c r="Z154" s="182">
        <f t="shared" si="89"/>
        <v>1119775.0037973439</v>
      </c>
      <c r="AA154" s="195">
        <f t="shared" si="89"/>
        <v>365299.83406346646</v>
      </c>
      <c r="AB154" s="183">
        <f t="shared" si="89"/>
        <v>86593.136730347585</v>
      </c>
      <c r="AD154" s="195">
        <f t="shared" si="94"/>
        <v>708405.68085346231</v>
      </c>
      <c r="AE154" s="195">
        <f t="shared" si="90"/>
        <v>647118.82453284378</v>
      </c>
      <c r="AF154" s="184">
        <f t="shared" si="90"/>
        <v>-256546.66121353355</v>
      </c>
      <c r="AG154" s="184">
        <f t="shared" si="90"/>
        <v>-317833.51753415237</v>
      </c>
    </row>
    <row r="155" spans="13:33" x14ac:dyDescent="0.3">
      <c r="M155" s="111"/>
      <c r="N155" s="8"/>
      <c r="O155" s="194">
        <f t="shared" si="96"/>
        <v>1505322.8814431613</v>
      </c>
      <c r="P155" s="194">
        <f t="shared" si="96"/>
        <v>1193764.4285688396</v>
      </c>
      <c r="Q155" s="196">
        <f t="shared" si="96"/>
        <v>431069.01128391572</v>
      </c>
      <c r="R155" s="196">
        <f t="shared" si="96"/>
        <v>119510.55840959412</v>
      </c>
      <c r="T155" s="194">
        <f t="shared" si="92"/>
        <v>1478796.3568616612</v>
      </c>
      <c r="U155" s="194">
        <f t="shared" si="88"/>
        <v>1174851.4354810896</v>
      </c>
      <c r="V155" s="196">
        <f t="shared" si="88"/>
        <v>406931.72420241573</v>
      </c>
      <c r="W155" s="196">
        <f t="shared" si="88"/>
        <v>102986.80282184412</v>
      </c>
      <c r="Y155" s="194">
        <f t="shared" si="93"/>
        <v>1456031.7371376613</v>
      </c>
      <c r="Z155" s="194">
        <f t="shared" si="89"/>
        <v>1160003.2729070894</v>
      </c>
      <c r="AA155" s="196">
        <f t="shared" si="89"/>
        <v>386651.40447841573</v>
      </c>
      <c r="AB155" s="193">
        <f t="shared" si="89"/>
        <v>90622.940247844119</v>
      </c>
      <c r="AC155" s="8"/>
      <c r="AD155" s="196">
        <f t="shared" si="94"/>
        <v>765955.71686066128</v>
      </c>
      <c r="AE155" s="196">
        <f t="shared" si="90"/>
        <v>687347.09364258952</v>
      </c>
      <c r="AF155" s="197">
        <f t="shared" si="90"/>
        <v>-235195.09079858428</v>
      </c>
      <c r="AG155" s="197">
        <f t="shared" si="90"/>
        <v>-313803.71401665587</v>
      </c>
    </row>
    <row r="156" spans="13:33" x14ac:dyDescent="0.3">
      <c r="M156" s="237"/>
      <c r="N156" s="207"/>
      <c r="O156" s="195">
        <f>O116*O133</f>
        <v>299605.5073755678</v>
      </c>
      <c r="P156" s="195">
        <f t="shared" ref="P156:R156" si="97">P116*P133</f>
        <v>241393.6588925838</v>
      </c>
      <c r="Q156" s="195">
        <f t="shared" si="97"/>
        <v>82376.609451340817</v>
      </c>
      <c r="R156" s="183">
        <f t="shared" si="97"/>
        <v>24164.760968356804</v>
      </c>
      <c r="T156" s="195">
        <f t="shared" si="92"/>
        <v>273078.98279406782</v>
      </c>
      <c r="U156" s="195">
        <f t="shared" si="88"/>
        <v>222480.66580483381</v>
      </c>
      <c r="V156" s="183">
        <f t="shared" si="88"/>
        <v>58239.322369840818</v>
      </c>
      <c r="W156" s="183">
        <f t="shared" si="88"/>
        <v>7641.0053806068063</v>
      </c>
      <c r="Y156" s="195">
        <f t="shared" si="93"/>
        <v>250314.3630700678</v>
      </c>
      <c r="Z156" s="195">
        <f t="shared" si="89"/>
        <v>207632.5032308338</v>
      </c>
      <c r="AA156" s="183">
        <f t="shared" si="89"/>
        <v>37959.002645840817</v>
      </c>
      <c r="AB156" s="184">
        <f t="shared" si="89"/>
        <v>-4722.8571933931962</v>
      </c>
      <c r="AC156" s="207"/>
      <c r="AD156" s="184">
        <f t="shared" si="94"/>
        <v>-439761.6572069322</v>
      </c>
      <c r="AE156" s="184">
        <f t="shared" si="90"/>
        <v>-265023.67603366624</v>
      </c>
      <c r="AF156" s="184">
        <f t="shared" si="90"/>
        <v>-583887.49263115914</v>
      </c>
      <c r="AG156" s="184">
        <f t="shared" si="90"/>
        <v>-409149.51145789318</v>
      </c>
    </row>
    <row r="157" spans="13:33" ht="28.8" x14ac:dyDescent="0.3">
      <c r="M157" s="222" t="s">
        <v>896</v>
      </c>
      <c r="O157" s="195">
        <f t="shared" ref="O157:R159" si="98">O117*O134</f>
        <v>329504.77736685204</v>
      </c>
      <c r="P157" s="195">
        <f t="shared" si="98"/>
        <v>263828.61840682634</v>
      </c>
      <c r="Q157" s="195">
        <f t="shared" si="98"/>
        <v>92087.515852672004</v>
      </c>
      <c r="R157" s="183">
        <f t="shared" si="98"/>
        <v>26411.356892646403</v>
      </c>
      <c r="T157" s="195">
        <f t="shared" si="92"/>
        <v>302978.25278535206</v>
      </c>
      <c r="U157" s="195">
        <f t="shared" si="88"/>
        <v>244915.62531907635</v>
      </c>
      <c r="V157" s="183">
        <f t="shared" si="88"/>
        <v>67950.228771171998</v>
      </c>
      <c r="W157" s="183">
        <f t="shared" si="88"/>
        <v>9887.6013048964051</v>
      </c>
      <c r="Y157" s="195">
        <f t="shared" si="93"/>
        <v>280213.63306135207</v>
      </c>
      <c r="Z157" s="195">
        <f t="shared" si="89"/>
        <v>230067.46274507634</v>
      </c>
      <c r="AA157" s="183">
        <f t="shared" si="89"/>
        <v>47669.909047172005</v>
      </c>
      <c r="AB157" s="184">
        <f t="shared" si="89"/>
        <v>-2476.2612691035974</v>
      </c>
      <c r="AD157" s="184">
        <f t="shared" si="94"/>
        <v>-409862.38721564796</v>
      </c>
      <c r="AE157" s="184">
        <f t="shared" si="90"/>
        <v>-242588.7165194237</v>
      </c>
      <c r="AF157" s="184">
        <f t="shared" si="90"/>
        <v>-574176.58622982795</v>
      </c>
      <c r="AG157" s="184">
        <f t="shared" si="90"/>
        <v>-406902.91553360358</v>
      </c>
    </row>
    <row r="158" spans="13:33" x14ac:dyDescent="0.3">
      <c r="M158" s="222"/>
      <c r="O158" s="195">
        <f t="shared" si="98"/>
        <v>351168.88049324363</v>
      </c>
      <c r="P158" s="195">
        <f t="shared" si="98"/>
        <v>279799.41950337082</v>
      </c>
      <c r="Q158" s="195">
        <f t="shared" si="98"/>
        <v>99380.241508249615</v>
      </c>
      <c r="R158" s="183">
        <f t="shared" si="98"/>
        <v>28010.780518376781</v>
      </c>
      <c r="T158" s="195">
        <f t="shared" si="92"/>
        <v>324642.35591174365</v>
      </c>
      <c r="U158" s="195">
        <f t="shared" si="88"/>
        <v>260886.42641562084</v>
      </c>
      <c r="V158" s="183">
        <f t="shared" si="88"/>
        <v>75242.954426749609</v>
      </c>
      <c r="W158" s="183">
        <f t="shared" si="88"/>
        <v>11487.024930626783</v>
      </c>
      <c r="Y158" s="195">
        <f t="shared" si="93"/>
        <v>301877.73618774361</v>
      </c>
      <c r="Z158" s="195">
        <f t="shared" si="89"/>
        <v>246038.26384162082</v>
      </c>
      <c r="AA158" s="183">
        <f t="shared" si="89"/>
        <v>54962.634702749616</v>
      </c>
      <c r="AB158" s="184">
        <f t="shared" si="89"/>
        <v>-876.83764337321918</v>
      </c>
      <c r="AD158" s="184">
        <f t="shared" si="94"/>
        <v>-388198.28408925637</v>
      </c>
      <c r="AE158" s="184">
        <f t="shared" si="90"/>
        <v>-226617.91542287922</v>
      </c>
      <c r="AF158" s="184">
        <f t="shared" si="90"/>
        <v>-566883.86057425034</v>
      </c>
      <c r="AG158" s="184">
        <f t="shared" si="90"/>
        <v>-405303.49190787319</v>
      </c>
    </row>
    <row r="159" spans="13:33" x14ac:dyDescent="0.3">
      <c r="M159" s="111"/>
      <c r="N159" s="8"/>
      <c r="O159" s="196">
        <f t="shared" si="98"/>
        <v>365128.10191441077</v>
      </c>
      <c r="P159" s="196">
        <f t="shared" si="98"/>
        <v>289557.10785343545</v>
      </c>
      <c r="Q159" s="196">
        <f t="shared" si="98"/>
        <v>104559.23564605758</v>
      </c>
      <c r="R159" s="193">
        <f t="shared" si="98"/>
        <v>28988.241585082207</v>
      </c>
      <c r="T159" s="196">
        <f t="shared" si="92"/>
        <v>338601.57733291079</v>
      </c>
      <c r="U159" s="196">
        <f t="shared" si="88"/>
        <v>270644.11476568546</v>
      </c>
      <c r="V159" s="193">
        <f t="shared" si="88"/>
        <v>80421.948564557591</v>
      </c>
      <c r="W159" s="193">
        <f t="shared" si="88"/>
        <v>12464.485997332209</v>
      </c>
      <c r="Y159" s="196">
        <f t="shared" si="93"/>
        <v>315836.95760891074</v>
      </c>
      <c r="Z159" s="196">
        <f t="shared" si="89"/>
        <v>255795.95219168544</v>
      </c>
      <c r="AA159" s="193">
        <f t="shared" si="89"/>
        <v>60141.628840557583</v>
      </c>
      <c r="AB159" s="197">
        <f t="shared" si="89"/>
        <v>100.62342333220658</v>
      </c>
      <c r="AC159" s="8"/>
      <c r="AD159" s="197">
        <f t="shared" si="94"/>
        <v>-374239.06266808923</v>
      </c>
      <c r="AE159" s="197">
        <f t="shared" si="90"/>
        <v>-216860.2270728146</v>
      </c>
      <c r="AF159" s="197">
        <f t="shared" si="90"/>
        <v>-561704.86643644236</v>
      </c>
      <c r="AG159" s="197">
        <f t="shared" si="90"/>
        <v>-404326.03084116778</v>
      </c>
    </row>
    <row r="160" spans="13:33" x14ac:dyDescent="0.3">
      <c r="M160" s="237"/>
      <c r="N160" s="207"/>
      <c r="O160" s="183">
        <f>O120*O133</f>
        <v>38290.674239281208</v>
      </c>
      <c r="P160" s="183">
        <f t="shared" ref="P160:R161" si="99">P120*P133</f>
        <v>30850.988144545201</v>
      </c>
      <c r="Q160" s="183">
        <f t="shared" si="99"/>
        <v>10528.030492723203</v>
      </c>
      <c r="R160" s="184">
        <f t="shared" si="99"/>
        <v>3088.3443979872</v>
      </c>
      <c r="T160" s="183">
        <f t="shared" si="92"/>
        <v>11764.149657781207</v>
      </c>
      <c r="U160" s="183">
        <f t="shared" si="88"/>
        <v>11937.9950567952</v>
      </c>
      <c r="V160" s="184">
        <f t="shared" si="88"/>
        <v>-13609.256588776796</v>
      </c>
      <c r="W160" s="184">
        <f t="shared" si="88"/>
        <v>-13435.411189762799</v>
      </c>
      <c r="Y160" s="184">
        <f t="shared" si="93"/>
        <v>-11000.47006621879</v>
      </c>
      <c r="Z160" s="184">
        <f t="shared" si="89"/>
        <v>-2910.1675172048017</v>
      </c>
      <c r="AA160" s="184">
        <f t="shared" si="89"/>
        <v>-33889.5763127768</v>
      </c>
      <c r="AB160" s="184">
        <f t="shared" si="89"/>
        <v>-25799.273763762802</v>
      </c>
      <c r="AC160" s="207"/>
      <c r="AD160" s="184">
        <f t="shared" si="94"/>
        <v>-701076.49034321879</v>
      </c>
      <c r="AE160" s="184">
        <f t="shared" si="90"/>
        <v>-475566.34678170487</v>
      </c>
      <c r="AF160" s="184">
        <f t="shared" si="90"/>
        <v>-655736.07158977678</v>
      </c>
      <c r="AG160" s="184">
        <f t="shared" si="90"/>
        <v>-430225.9280282628</v>
      </c>
    </row>
    <row r="161" spans="13:33" ht="28.8" x14ac:dyDescent="0.3">
      <c r="M161" s="222" t="s">
        <v>897</v>
      </c>
      <c r="O161" s="183">
        <f>O121*O134</f>
        <v>42111.909760808005</v>
      </c>
      <c r="P161" s="183">
        <f t="shared" si="99"/>
        <v>33718.257621185599</v>
      </c>
      <c r="Q161" s="183">
        <f t="shared" si="99"/>
        <v>11769.119673088002</v>
      </c>
      <c r="R161" s="184">
        <f t="shared" si="99"/>
        <v>3375.4675334655999</v>
      </c>
      <c r="T161" s="183">
        <f t="shared" si="92"/>
        <v>15585.385179308003</v>
      </c>
      <c r="U161" s="183">
        <f t="shared" si="88"/>
        <v>14805.264533435598</v>
      </c>
      <c r="V161" s="184">
        <f t="shared" si="88"/>
        <v>-12368.167408411997</v>
      </c>
      <c r="W161" s="184">
        <f t="shared" si="88"/>
        <v>-13148.288054284398</v>
      </c>
      <c r="Y161" s="184">
        <f t="shared" si="93"/>
        <v>-7179.2345446919935</v>
      </c>
      <c r="Z161" s="184">
        <f t="shared" si="89"/>
        <v>-42.898040564403345</v>
      </c>
      <c r="AA161" s="184">
        <f t="shared" si="89"/>
        <v>-32648.487132411996</v>
      </c>
      <c r="AB161" s="184">
        <f t="shared" si="89"/>
        <v>-25512.150628284402</v>
      </c>
      <c r="AD161" s="184">
        <f t="shared" si="94"/>
        <v>-697255.25482169201</v>
      </c>
      <c r="AE161" s="184">
        <f t="shared" si="90"/>
        <v>-472699.07730506442</v>
      </c>
      <c r="AF161" s="184">
        <f t="shared" si="90"/>
        <v>-654494.98240941204</v>
      </c>
      <c r="AG161" s="184">
        <f t="shared" si="90"/>
        <v>-429938.80489278439</v>
      </c>
    </row>
    <row r="162" spans="13:33" x14ac:dyDescent="0.3">
      <c r="M162" s="222"/>
      <c r="O162" s="183">
        <f t="shared" ref="O162:R163" si="100">O122*O135</f>
        <v>44880.660985594404</v>
      </c>
      <c r="P162" s="183">
        <f t="shared" si="100"/>
        <v>35759.384126118493</v>
      </c>
      <c r="Q162" s="183">
        <f t="shared" si="100"/>
        <v>12701.156553318404</v>
      </c>
      <c r="R162" s="184">
        <f t="shared" si="100"/>
        <v>3579.879693842483</v>
      </c>
      <c r="T162" s="183">
        <f t="shared" si="92"/>
        <v>18354.136404094403</v>
      </c>
      <c r="U162" s="183">
        <f t="shared" si="88"/>
        <v>16846.391038368492</v>
      </c>
      <c r="V162" s="184">
        <f t="shared" si="88"/>
        <v>-11436.130528181595</v>
      </c>
      <c r="W162" s="184">
        <f t="shared" si="88"/>
        <v>-12943.875893907516</v>
      </c>
      <c r="Y162" s="184">
        <f t="shared" si="93"/>
        <v>-4410.4833199055938</v>
      </c>
      <c r="Z162" s="184">
        <f t="shared" si="89"/>
        <v>1998.2284643684907</v>
      </c>
      <c r="AA162" s="184">
        <f t="shared" si="89"/>
        <v>-31716.450252181596</v>
      </c>
      <c r="AB162" s="184">
        <f t="shared" si="89"/>
        <v>-25307.738467907518</v>
      </c>
      <c r="AD162" s="184">
        <f t="shared" si="94"/>
        <v>-694486.50359690562</v>
      </c>
      <c r="AE162" s="184">
        <f t="shared" si="90"/>
        <v>-470657.95080013154</v>
      </c>
      <c r="AF162" s="184">
        <f t="shared" si="90"/>
        <v>-653562.94552918163</v>
      </c>
      <c r="AG162" s="184">
        <f t="shared" si="90"/>
        <v>-429734.39273240749</v>
      </c>
    </row>
    <row r="163" spans="13:33" x14ac:dyDescent="0.3">
      <c r="M163" s="111"/>
      <c r="N163" s="8"/>
      <c r="O163" s="193">
        <f t="shared" si="100"/>
        <v>46664.700286987754</v>
      </c>
      <c r="P163" s="193">
        <f t="shared" si="100"/>
        <v>37006.452209791583</v>
      </c>
      <c r="Q163" s="193">
        <f t="shared" si="100"/>
        <v>13363.050852775874</v>
      </c>
      <c r="R163" s="197">
        <f t="shared" si="100"/>
        <v>3704.8027755796979</v>
      </c>
      <c r="T163" s="193">
        <f t="shared" si="92"/>
        <v>20138.175705487753</v>
      </c>
      <c r="U163" s="193">
        <f t="shared" si="88"/>
        <v>18093.459122041582</v>
      </c>
      <c r="V163" s="197">
        <f t="shared" si="88"/>
        <v>-10774.236228724125</v>
      </c>
      <c r="W163" s="197">
        <f t="shared" si="88"/>
        <v>-12818.952812170301</v>
      </c>
      <c r="Y163" s="197">
        <f t="shared" si="93"/>
        <v>-2626.4440185122439</v>
      </c>
      <c r="Z163" s="197">
        <f t="shared" si="89"/>
        <v>3245.2965480415805</v>
      </c>
      <c r="AA163" s="197">
        <f t="shared" si="89"/>
        <v>-31054.555952724128</v>
      </c>
      <c r="AB163" s="197">
        <f t="shared" si="89"/>
        <v>-25182.815386170303</v>
      </c>
      <c r="AC163" s="8"/>
      <c r="AD163" s="197">
        <f t="shared" si="94"/>
        <v>-692702.4642955123</v>
      </c>
      <c r="AE163" s="197">
        <f t="shared" si="90"/>
        <v>-469410.88271645847</v>
      </c>
      <c r="AF163" s="197">
        <f t="shared" si="90"/>
        <v>-652901.05122972408</v>
      </c>
      <c r="AG163" s="197">
        <f t="shared" si="90"/>
        <v>-429609.4696506703</v>
      </c>
    </row>
    <row r="164" spans="13:33" x14ac:dyDescent="0.3">
      <c r="M164" s="237"/>
      <c r="N164" s="207"/>
      <c r="O164" s="184">
        <f>O124*O133</f>
        <v>2789.3868651131997</v>
      </c>
      <c r="P164" s="184">
        <f t="shared" ref="P164:R164" si="101">P124*P133</f>
        <v>2247.4229774171999</v>
      </c>
      <c r="Q164" s="184">
        <f t="shared" si="101"/>
        <v>766.94261867520004</v>
      </c>
      <c r="R164" s="184">
        <f t="shared" si="101"/>
        <v>224.97873097919998</v>
      </c>
      <c r="T164" s="184">
        <f t="shared" si="92"/>
        <v>-23737.137716386802</v>
      </c>
      <c r="U164" s="184">
        <f t="shared" si="92"/>
        <v>-16665.570110332803</v>
      </c>
      <c r="V164" s="184">
        <f t="shared" si="92"/>
        <v>-23370.3444628248</v>
      </c>
      <c r="W164" s="184">
        <f t="shared" si="92"/>
        <v>-16298.776856770799</v>
      </c>
      <c r="Y164" s="184">
        <f t="shared" si="93"/>
        <v>-46501.757440386798</v>
      </c>
      <c r="Z164" s="184">
        <f t="shared" si="93"/>
        <v>-31513.732684332805</v>
      </c>
      <c r="AA164" s="184">
        <f t="shared" si="93"/>
        <v>-43650.664186824797</v>
      </c>
      <c r="AB164" s="184">
        <f t="shared" si="93"/>
        <v>-28662.6394307708</v>
      </c>
      <c r="AC164" s="207"/>
      <c r="AD164" s="234"/>
      <c r="AE164" s="234"/>
      <c r="AF164" s="234"/>
      <c r="AG164" s="234"/>
    </row>
    <row r="165" spans="13:33" ht="28.8" x14ac:dyDescent="0.3">
      <c r="M165" s="222" t="s">
        <v>898</v>
      </c>
      <c r="O165" s="184">
        <f t="shared" ref="O165:R167" si="102">O125*O134</f>
        <v>3067.7550156879997</v>
      </c>
      <c r="P165" s="184">
        <f t="shared" si="102"/>
        <v>2456.2969128015998</v>
      </c>
      <c r="Q165" s="184">
        <f t="shared" si="102"/>
        <v>857.35308876800002</v>
      </c>
      <c r="R165" s="184">
        <f t="shared" si="102"/>
        <v>245.89498588159998</v>
      </c>
      <c r="T165" s="184">
        <f t="shared" si="92"/>
        <v>-23458.769565812003</v>
      </c>
      <c r="U165" s="184">
        <f t="shared" si="92"/>
        <v>-16456.6961749484</v>
      </c>
      <c r="V165" s="184">
        <f t="shared" si="92"/>
        <v>-23279.933992732</v>
      </c>
      <c r="W165" s="184">
        <f t="shared" si="92"/>
        <v>-16277.860601868399</v>
      </c>
      <c r="Y165" s="184">
        <f t="shared" si="93"/>
        <v>-46223.389289811996</v>
      </c>
      <c r="Z165" s="184">
        <f t="shared" si="93"/>
        <v>-31304.858748948402</v>
      </c>
      <c r="AA165" s="184">
        <f t="shared" si="93"/>
        <v>-43560.253716731997</v>
      </c>
      <c r="AB165" s="184">
        <f t="shared" si="93"/>
        <v>-28641.723175868399</v>
      </c>
      <c r="AD165" s="184">
        <f t="shared" si="94"/>
        <v>-736299.40956681198</v>
      </c>
      <c r="AE165" s="184">
        <f t="shared" si="94"/>
        <v>-503961.03801344841</v>
      </c>
      <c r="AF165" s="184">
        <f t="shared" si="94"/>
        <v>-665406.74899373204</v>
      </c>
      <c r="AG165" s="184">
        <f t="shared" si="94"/>
        <v>-433068.37744036841</v>
      </c>
    </row>
    <row r="166" spans="13:33" x14ac:dyDescent="0.3">
      <c r="M166" s="222"/>
      <c r="O166" s="184">
        <f t="shared" si="102"/>
        <v>3269.4521247783996</v>
      </c>
      <c r="P166" s="184">
        <f t="shared" si="102"/>
        <v>2604.9882475980357</v>
      </c>
      <c r="Q166" s="184">
        <f t="shared" si="102"/>
        <v>925.24981514240005</v>
      </c>
      <c r="R166" s="184">
        <f t="shared" si="102"/>
        <v>260.78593796203518</v>
      </c>
      <c r="T166" s="184">
        <f t="shared" si="92"/>
        <v>-23257.072456721602</v>
      </c>
      <c r="U166" s="184">
        <f t="shared" si="92"/>
        <v>-16308.004840151965</v>
      </c>
      <c r="V166" s="184">
        <f t="shared" si="92"/>
        <v>-23212.037266357598</v>
      </c>
      <c r="W166" s="184">
        <f t="shared" si="92"/>
        <v>-16262.969649787963</v>
      </c>
      <c r="Y166" s="184">
        <f t="shared" si="93"/>
        <v>-46021.692180721599</v>
      </c>
      <c r="Z166" s="184">
        <f t="shared" si="93"/>
        <v>-31156.167414151969</v>
      </c>
      <c r="AA166" s="184">
        <f t="shared" si="93"/>
        <v>-43492.356990357599</v>
      </c>
      <c r="AB166" s="184">
        <f t="shared" si="93"/>
        <v>-28626.832223787966</v>
      </c>
      <c r="AD166" s="184">
        <f t="shared" si="94"/>
        <v>-736097.71245772159</v>
      </c>
      <c r="AE166" s="184">
        <f t="shared" si="94"/>
        <v>-503812.34667865199</v>
      </c>
      <c r="AF166" s="184">
        <f t="shared" si="94"/>
        <v>-665338.85226735764</v>
      </c>
      <c r="AG166" s="184">
        <f t="shared" si="94"/>
        <v>-433053.48648828792</v>
      </c>
    </row>
    <row r="167" spans="13:33" x14ac:dyDescent="0.3">
      <c r="M167" s="111"/>
      <c r="N167" s="8"/>
      <c r="O167" s="197">
        <f t="shared" si="102"/>
        <v>3399.4152526944717</v>
      </c>
      <c r="P167" s="197">
        <f t="shared" si="102"/>
        <v>2695.8342669384592</v>
      </c>
      <c r="Q167" s="197">
        <f t="shared" si="102"/>
        <v>973.46728066579203</v>
      </c>
      <c r="R167" s="197">
        <f t="shared" si="102"/>
        <v>269.88629490977934</v>
      </c>
      <c r="T167" s="197">
        <f t="shared" si="92"/>
        <v>-23127.109328805531</v>
      </c>
      <c r="U167" s="197">
        <f t="shared" si="92"/>
        <v>-16217.158820811543</v>
      </c>
      <c r="V167" s="197">
        <f t="shared" si="92"/>
        <v>-23163.819800834208</v>
      </c>
      <c r="W167" s="197">
        <f t="shared" si="92"/>
        <v>-16253.869292840218</v>
      </c>
      <c r="Y167" s="197">
        <f t="shared" si="93"/>
        <v>-45891.729052805524</v>
      </c>
      <c r="Z167" s="197">
        <f t="shared" si="93"/>
        <v>-31065.321394811544</v>
      </c>
      <c r="AA167" s="197">
        <f t="shared" si="93"/>
        <v>-43444.139524834209</v>
      </c>
      <c r="AB167" s="197">
        <f t="shared" si="93"/>
        <v>-28617.731866840222</v>
      </c>
      <c r="AC167" s="8"/>
      <c r="AD167" s="197">
        <f t="shared" si="94"/>
        <v>-735967.74932980549</v>
      </c>
      <c r="AE167" s="197">
        <f t="shared" si="94"/>
        <v>-503721.5006593116</v>
      </c>
      <c r="AF167" s="197">
        <f t="shared" si="94"/>
        <v>-665290.63480183424</v>
      </c>
      <c r="AG167" s="197">
        <f t="shared" si="94"/>
        <v>-433044.38613134023</v>
      </c>
    </row>
    <row r="168" spans="13:33" x14ac:dyDescent="0.3">
      <c r="M168" s="237"/>
      <c r="N168" s="207"/>
      <c r="O168" s="184">
        <f>O128*O133</f>
        <v>380.37093615180004</v>
      </c>
      <c r="P168" s="184">
        <f t="shared" ref="P168:R168" si="103">P128*P133</f>
        <v>306.46676964779999</v>
      </c>
      <c r="Q168" s="184">
        <f t="shared" si="103"/>
        <v>104.58308436480002</v>
      </c>
      <c r="R168" s="184">
        <f t="shared" si="103"/>
        <v>30.678917860799999</v>
      </c>
      <c r="T168" s="184">
        <f t="shared" si="92"/>
        <v>-26146.1536453482</v>
      </c>
      <c r="U168" s="184">
        <f t="shared" si="92"/>
        <v>-18606.526318102202</v>
      </c>
      <c r="V168" s="184">
        <f t="shared" si="92"/>
        <v>-24032.703997135199</v>
      </c>
      <c r="W168" s="184">
        <f t="shared" si="92"/>
        <v>-16493.076669889197</v>
      </c>
      <c r="Y168" s="234"/>
      <c r="Z168" s="234"/>
      <c r="AA168" s="234"/>
      <c r="AB168" s="234"/>
      <c r="AC168" s="207"/>
      <c r="AD168" s="234"/>
      <c r="AE168" s="234"/>
      <c r="AF168" s="234"/>
      <c r="AG168" s="234"/>
    </row>
    <row r="169" spans="13:33" x14ac:dyDescent="0.3">
      <c r="M169" s="222" t="s">
        <v>825</v>
      </c>
      <c r="O169" s="184">
        <f t="shared" ref="O169:R171" si="104">O129*O134</f>
        <v>418.33022941199994</v>
      </c>
      <c r="P169" s="184">
        <f t="shared" si="104"/>
        <v>334.94957901839996</v>
      </c>
      <c r="Q169" s="184">
        <f t="shared" si="104"/>
        <v>116.91178483200001</v>
      </c>
      <c r="R169" s="184">
        <f t="shared" si="104"/>
        <v>33.531134438399995</v>
      </c>
      <c r="T169" s="184">
        <f t="shared" si="92"/>
        <v>-26108.194352088001</v>
      </c>
      <c r="U169" s="184">
        <f t="shared" si="92"/>
        <v>-18578.0435087316</v>
      </c>
      <c r="V169" s="184">
        <f t="shared" si="92"/>
        <v>-24020.375296668</v>
      </c>
      <c r="W169" s="184">
        <f t="shared" si="92"/>
        <v>-16490.224453311599</v>
      </c>
      <c r="Y169" s="184">
        <f t="shared" si="93"/>
        <v>-48872.814076087998</v>
      </c>
      <c r="Z169" s="184">
        <f t="shared" si="93"/>
        <v>-33426.206082731602</v>
      </c>
      <c r="AA169" s="184">
        <f t="shared" si="93"/>
        <v>-44300.695020667998</v>
      </c>
      <c r="AB169" s="184">
        <f t="shared" si="93"/>
        <v>-28854.087027311602</v>
      </c>
      <c r="AD169" s="184">
        <f t="shared" si="94"/>
        <v>-738948.83435308805</v>
      </c>
      <c r="AE169" s="184">
        <f t="shared" si="94"/>
        <v>-506082.38534723164</v>
      </c>
      <c r="AF169" s="184">
        <f t="shared" si="94"/>
        <v>-666147.19029766798</v>
      </c>
      <c r="AG169" s="184">
        <f t="shared" si="94"/>
        <v>-433280.74129181157</v>
      </c>
    </row>
    <row r="170" spans="13:33" x14ac:dyDescent="0.3">
      <c r="M170" s="221" t="s">
        <v>900</v>
      </c>
      <c r="O170" s="184">
        <f t="shared" si="104"/>
        <v>445.83438065160004</v>
      </c>
      <c r="P170" s="184">
        <f t="shared" si="104"/>
        <v>355.22567012700483</v>
      </c>
      <c r="Q170" s="184">
        <f t="shared" si="104"/>
        <v>126.17042933760001</v>
      </c>
      <c r="R170" s="184">
        <f t="shared" si="104"/>
        <v>35.561718813004795</v>
      </c>
      <c r="T170" s="184">
        <f t="shared" si="92"/>
        <v>-26080.690200848403</v>
      </c>
      <c r="U170" s="184">
        <f t="shared" si="92"/>
        <v>-18557.767417622996</v>
      </c>
      <c r="V170" s="184">
        <f t="shared" si="92"/>
        <v>-24011.1166521624</v>
      </c>
      <c r="W170" s="184">
        <f t="shared" si="92"/>
        <v>-16488.193868936993</v>
      </c>
      <c r="Y170" s="184">
        <f t="shared" si="93"/>
        <v>-48845.3099248484</v>
      </c>
      <c r="Z170" s="184">
        <f t="shared" si="93"/>
        <v>-33405.929991623001</v>
      </c>
      <c r="AA170" s="184">
        <f t="shared" si="93"/>
        <v>-44291.436376162397</v>
      </c>
      <c r="AB170" s="184">
        <f t="shared" si="93"/>
        <v>-28852.056442936995</v>
      </c>
      <c r="AD170" s="184">
        <f t="shared" si="94"/>
        <v>-738921.33020184841</v>
      </c>
      <c r="AE170" s="184">
        <f t="shared" si="94"/>
        <v>-506062.10925612302</v>
      </c>
      <c r="AF170" s="184">
        <f t="shared" si="94"/>
        <v>-666137.93165316235</v>
      </c>
      <c r="AG170" s="184">
        <f t="shared" si="94"/>
        <v>-433278.71070743696</v>
      </c>
    </row>
    <row r="171" spans="13:33" x14ac:dyDescent="0.3">
      <c r="M171" s="8"/>
      <c r="N171" s="8"/>
      <c r="O171" s="184">
        <f t="shared" si="104"/>
        <v>463.55662536742796</v>
      </c>
      <c r="P171" s="184">
        <f t="shared" si="104"/>
        <v>367.61376367342621</v>
      </c>
      <c r="Q171" s="184">
        <f t="shared" si="104"/>
        <v>132.74553827260803</v>
      </c>
      <c r="R171" s="184">
        <f t="shared" si="104"/>
        <v>36.802676578606267</v>
      </c>
      <c r="T171" s="184">
        <f t="shared" si="92"/>
        <v>-26062.967956132572</v>
      </c>
      <c r="U171" s="184">
        <f t="shared" si="92"/>
        <v>-18545.379324076574</v>
      </c>
      <c r="V171" s="184">
        <f t="shared" si="92"/>
        <v>-24004.541543227391</v>
      </c>
      <c r="W171" s="184">
        <f t="shared" si="92"/>
        <v>-16486.952911171393</v>
      </c>
      <c r="Y171" s="184">
        <f t="shared" si="93"/>
        <v>-48827.587680132572</v>
      </c>
      <c r="Z171" s="184">
        <f t="shared" si="93"/>
        <v>-33393.541898076575</v>
      </c>
      <c r="AA171" s="184">
        <f t="shared" si="93"/>
        <v>-44284.861267227388</v>
      </c>
      <c r="AB171" s="184">
        <f t="shared" si="93"/>
        <v>-28850.815485171395</v>
      </c>
      <c r="AD171" s="184">
        <f t="shared" si="94"/>
        <v>-738903.60795713263</v>
      </c>
      <c r="AE171" s="184">
        <f t="shared" si="94"/>
        <v>-506049.72116257664</v>
      </c>
      <c r="AF171" s="184">
        <f t="shared" si="94"/>
        <v>-666131.35654422734</v>
      </c>
      <c r="AG171" s="184">
        <f t="shared" si="94"/>
        <v>-433277.46974967135</v>
      </c>
    </row>
    <row r="174" spans="13:33" x14ac:dyDescent="0.3">
      <c r="M174" s="221" t="s">
        <v>856</v>
      </c>
      <c r="T174" s="221" t="s">
        <v>944</v>
      </c>
      <c r="Y174" s="221" t="s">
        <v>943</v>
      </c>
      <c r="AD174" s="221" t="s">
        <v>945</v>
      </c>
    </row>
    <row r="175" spans="13:33" x14ac:dyDescent="0.3">
      <c r="M175" s="176" t="s">
        <v>821</v>
      </c>
      <c r="O175" s="188" t="s">
        <v>826</v>
      </c>
      <c r="P175" s="188" t="s">
        <v>827</v>
      </c>
      <c r="Q175" s="188" t="s">
        <v>828</v>
      </c>
      <c r="R175" s="188" t="s">
        <v>829</v>
      </c>
      <c r="T175" s="170">
        <v>26526.524581500002</v>
      </c>
      <c r="U175" s="170">
        <v>18912.993087750001</v>
      </c>
      <c r="V175" s="170">
        <v>24137.287081499999</v>
      </c>
      <c r="W175" s="170">
        <v>16523.755587749998</v>
      </c>
      <c r="X175" s="8"/>
      <c r="Y175" s="170">
        <v>49291.144305499998</v>
      </c>
      <c r="Z175" s="170">
        <v>33761.155661750003</v>
      </c>
      <c r="AA175" s="170">
        <v>44417.6068055</v>
      </c>
      <c r="AB175" s="170">
        <v>28887.618161750001</v>
      </c>
      <c r="AC175" s="8"/>
      <c r="AD175" s="170">
        <f>Y175*15</f>
        <v>739367.1645825</v>
      </c>
      <c r="AE175" s="170">
        <f>Z175*15</f>
        <v>506417.33492625004</v>
      </c>
      <c r="AF175" s="170">
        <f>AA175*15</f>
        <v>666264.1020825</v>
      </c>
      <c r="AG175" s="170">
        <f>AB175*15</f>
        <v>433314.27242624998</v>
      </c>
    </row>
    <row r="176" spans="13:33" x14ac:dyDescent="0.3">
      <c r="M176" s="225"/>
      <c r="O176" s="182">
        <f>O108*(O133+O137)</f>
        <v>147332361.4366</v>
      </c>
      <c r="P176" s="182">
        <f t="shared" ref="P176:R176" si="105">P108*(P133+P137)</f>
        <v>122697639.26859999</v>
      </c>
      <c r="Q176" s="182">
        <f t="shared" si="105"/>
        <v>55403077.507600009</v>
      </c>
      <c r="R176" s="182">
        <f t="shared" si="105"/>
        <v>30768355.339600001</v>
      </c>
      <c r="T176" s="182">
        <f>O176-T$147</f>
        <v>147305834.91201851</v>
      </c>
      <c r="U176" s="182">
        <f t="shared" ref="U176:W191" si="106">P176-U$147</f>
        <v>122678726.27551223</v>
      </c>
      <c r="V176" s="182">
        <f t="shared" si="106"/>
        <v>55378940.220518507</v>
      </c>
      <c r="W176" s="182">
        <f t="shared" si="106"/>
        <v>30751831.584012251</v>
      </c>
      <c r="X176" s="207"/>
      <c r="Y176" s="182">
        <f>O176-Y$175</f>
        <v>147283070.2922945</v>
      </c>
      <c r="Z176" s="182">
        <f t="shared" ref="Z176:AB191" si="107">P176-Z$175</f>
        <v>122663878.11293824</v>
      </c>
      <c r="AA176" s="182">
        <f t="shared" si="107"/>
        <v>55358659.900794506</v>
      </c>
      <c r="AB176" s="182">
        <f t="shared" si="107"/>
        <v>30739467.721438251</v>
      </c>
      <c r="AC176" s="207"/>
      <c r="AD176" s="182">
        <f>O176-AD$175</f>
        <v>146592994.27201751</v>
      </c>
      <c r="AE176" s="182">
        <f t="shared" ref="AE176:AG191" si="108">P176-AE$175</f>
        <v>122191221.93367374</v>
      </c>
      <c r="AF176" s="182">
        <f t="shared" si="108"/>
        <v>54736813.405517511</v>
      </c>
      <c r="AG176" s="182">
        <f t="shared" si="108"/>
        <v>30335041.067173749</v>
      </c>
    </row>
    <row r="177" spans="13:33" x14ac:dyDescent="0.3">
      <c r="M177" s="222" t="s">
        <v>824</v>
      </c>
      <c r="O177" s="182">
        <f t="shared" ref="O177:R179" si="109">O109*(O134+O138)</f>
        <v>161645836.62040001</v>
      </c>
      <c r="P177" s="182">
        <f t="shared" si="109"/>
        <v>133852286.4892</v>
      </c>
      <c r="Q177" s="182">
        <f t="shared" si="109"/>
        <v>61173021.760400005</v>
      </c>
      <c r="R177" s="182">
        <f t="shared" si="109"/>
        <v>33379471.6292</v>
      </c>
      <c r="T177" s="182">
        <f>O177-T$147</f>
        <v>161619310.09581852</v>
      </c>
      <c r="U177" s="182">
        <f t="shared" si="106"/>
        <v>133833373.49611224</v>
      </c>
      <c r="V177" s="182">
        <f t="shared" si="106"/>
        <v>61148884.473318502</v>
      </c>
      <c r="W177" s="182">
        <f t="shared" si="106"/>
        <v>33362947.873612251</v>
      </c>
      <c r="Y177" s="182">
        <f>O177-Y$175</f>
        <v>161596545.47609451</v>
      </c>
      <c r="Z177" s="182">
        <f t="shared" si="107"/>
        <v>133818525.33353825</v>
      </c>
      <c r="AA177" s="182">
        <f t="shared" si="107"/>
        <v>61128604.153594501</v>
      </c>
      <c r="AB177" s="182">
        <f t="shared" si="107"/>
        <v>33350584.011038251</v>
      </c>
      <c r="AC177" s="101"/>
      <c r="AD177" s="182">
        <f>O177-AD$175</f>
        <v>160906469.45581752</v>
      </c>
      <c r="AE177" s="182">
        <f t="shared" si="108"/>
        <v>133345869.15427375</v>
      </c>
      <c r="AF177" s="182">
        <f t="shared" si="108"/>
        <v>60506757.658317506</v>
      </c>
      <c r="AG177" s="182">
        <f t="shared" si="108"/>
        <v>32946157.356773749</v>
      </c>
    </row>
    <row r="178" spans="13:33" x14ac:dyDescent="0.3">
      <c r="M178" s="222" t="s">
        <v>899</v>
      </c>
      <c r="O178" s="182">
        <f t="shared" si="109"/>
        <v>171942188.8824448</v>
      </c>
      <c r="P178" s="182">
        <f t="shared" si="109"/>
        <v>141739285.37424639</v>
      </c>
      <c r="Q178" s="182">
        <f t="shared" si="109"/>
        <v>65387538.444444805</v>
      </c>
      <c r="R178" s="182">
        <f t="shared" si="109"/>
        <v>35184634.936246395</v>
      </c>
      <c r="T178" s="182">
        <f t="shared" ref="T178:W193" si="110">O178-T$147</f>
        <v>171915662.35786331</v>
      </c>
      <c r="U178" s="182">
        <f t="shared" si="106"/>
        <v>141720372.38115865</v>
      </c>
      <c r="V178" s="182">
        <f t="shared" si="106"/>
        <v>65363401.157363303</v>
      </c>
      <c r="W178" s="182">
        <f t="shared" si="106"/>
        <v>35168111.180658646</v>
      </c>
      <c r="Y178" s="182">
        <f t="shared" ref="Y178:AB199" si="111">O178-Y$175</f>
        <v>171892897.7381393</v>
      </c>
      <c r="Z178" s="182">
        <f t="shared" si="107"/>
        <v>141705524.21858463</v>
      </c>
      <c r="AA178" s="182">
        <f t="shared" si="107"/>
        <v>65343120.837639302</v>
      </c>
      <c r="AB178" s="182">
        <f t="shared" si="107"/>
        <v>35155747.318084642</v>
      </c>
      <c r="AC178" s="101"/>
      <c r="AD178" s="182">
        <f t="shared" ref="AD178:AG199" si="112">O178-AD$175</f>
        <v>171202821.71786231</v>
      </c>
      <c r="AE178" s="182">
        <f t="shared" si="108"/>
        <v>141232868.03932014</v>
      </c>
      <c r="AF178" s="182">
        <f t="shared" si="108"/>
        <v>64721274.342362307</v>
      </c>
      <c r="AG178" s="182">
        <f t="shared" si="108"/>
        <v>34751320.663820148</v>
      </c>
    </row>
    <row r="179" spans="13:33" x14ac:dyDescent="0.3">
      <c r="M179" s="111"/>
      <c r="N179" s="8"/>
      <c r="O179" s="194">
        <f t="shared" si="109"/>
        <v>178444106.20273185</v>
      </c>
      <c r="P179" s="194">
        <f t="shared" si="109"/>
        <v>146463152.30473128</v>
      </c>
      <c r="Q179" s="194">
        <f t="shared" si="109"/>
        <v>68173743.837791875</v>
      </c>
      <c r="R179" s="194">
        <f t="shared" si="109"/>
        <v>36192789.939791299</v>
      </c>
      <c r="T179" s="194">
        <f t="shared" si="110"/>
        <v>178417579.67815036</v>
      </c>
      <c r="U179" s="194">
        <f t="shared" si="106"/>
        <v>146444239.31164354</v>
      </c>
      <c r="V179" s="194">
        <f t="shared" si="106"/>
        <v>68149606.55071038</v>
      </c>
      <c r="W179" s="194">
        <f t="shared" si="106"/>
        <v>36176266.18420355</v>
      </c>
      <c r="Y179" s="194">
        <f t="shared" si="111"/>
        <v>178394815.05842635</v>
      </c>
      <c r="Z179" s="194">
        <f t="shared" si="107"/>
        <v>146429391.14906952</v>
      </c>
      <c r="AA179" s="194">
        <f t="shared" si="107"/>
        <v>68129326.230986372</v>
      </c>
      <c r="AB179" s="194">
        <f t="shared" si="107"/>
        <v>36163902.321629547</v>
      </c>
      <c r="AC179" s="208"/>
      <c r="AD179" s="194">
        <f t="shared" si="112"/>
        <v>177704739.03814936</v>
      </c>
      <c r="AE179" s="194">
        <f t="shared" si="108"/>
        <v>145956734.96980503</v>
      </c>
      <c r="AF179" s="194">
        <f t="shared" si="108"/>
        <v>67507479.735709369</v>
      </c>
      <c r="AG179" s="194">
        <f t="shared" si="108"/>
        <v>35759475.667365052</v>
      </c>
    </row>
    <row r="180" spans="13:33" x14ac:dyDescent="0.3">
      <c r="M180" s="237"/>
      <c r="N180" s="207"/>
      <c r="O180" s="182">
        <f>O112*(O133+O137)</f>
        <v>1435311.8651153571</v>
      </c>
      <c r="P180" s="182">
        <f t="shared" ref="P180:R180" si="113">P112*(P133+P137)</f>
        <v>1195320.4017547013</v>
      </c>
      <c r="Q180" s="195">
        <f t="shared" si="113"/>
        <v>539736.78107903933</v>
      </c>
      <c r="R180" s="195">
        <f t="shared" si="113"/>
        <v>299745.31771838322</v>
      </c>
      <c r="T180" s="182">
        <f t="shared" si="110"/>
        <v>1408785.340533857</v>
      </c>
      <c r="U180" s="182">
        <f t="shared" si="106"/>
        <v>1176407.4086669513</v>
      </c>
      <c r="V180" s="195">
        <f t="shared" si="106"/>
        <v>515599.49399753934</v>
      </c>
      <c r="W180" s="195">
        <f t="shared" si="106"/>
        <v>283221.56213063322</v>
      </c>
      <c r="Y180" s="182">
        <f t="shared" si="111"/>
        <v>1386020.7208098571</v>
      </c>
      <c r="Z180" s="182">
        <f t="shared" si="107"/>
        <v>1161559.2460929514</v>
      </c>
      <c r="AA180" s="195">
        <f t="shared" si="107"/>
        <v>495319.17427353933</v>
      </c>
      <c r="AB180" s="195">
        <f t="shared" si="107"/>
        <v>270857.69955663319</v>
      </c>
      <c r="AC180" s="208"/>
      <c r="AD180" s="195">
        <f t="shared" si="112"/>
        <v>695944.7005328571</v>
      </c>
      <c r="AE180" s="195">
        <f t="shared" si="108"/>
        <v>688903.06682845124</v>
      </c>
      <c r="AF180" s="184">
        <f t="shared" si="108"/>
        <v>-126527.32100346067</v>
      </c>
      <c r="AG180" s="184">
        <f t="shared" si="108"/>
        <v>-133568.95470786677</v>
      </c>
    </row>
    <row r="181" spans="13:33" ht="28.8" x14ac:dyDescent="0.3">
      <c r="M181" s="222" t="s">
        <v>895</v>
      </c>
      <c r="O181" s="182">
        <f t="shared" ref="O181:R183" si="114">O113*(O134+O138)</f>
        <v>1574753.7403559368</v>
      </c>
      <c r="P181" s="182">
        <f t="shared" si="114"/>
        <v>1303988.9749777864</v>
      </c>
      <c r="Q181" s="195">
        <f t="shared" si="114"/>
        <v>595947.57798981678</v>
      </c>
      <c r="R181" s="195">
        <f t="shared" si="114"/>
        <v>325182.81261166639</v>
      </c>
      <c r="T181" s="182">
        <f t="shared" si="110"/>
        <v>1548227.2157744367</v>
      </c>
      <c r="U181" s="182">
        <f t="shared" si="106"/>
        <v>1285075.9818900365</v>
      </c>
      <c r="V181" s="195">
        <f t="shared" si="106"/>
        <v>571810.29090831673</v>
      </c>
      <c r="W181" s="195">
        <f t="shared" si="106"/>
        <v>308659.05702391639</v>
      </c>
      <c r="Y181" s="182">
        <f t="shared" si="111"/>
        <v>1525462.5960504368</v>
      </c>
      <c r="Z181" s="182">
        <f t="shared" si="107"/>
        <v>1270227.8193160365</v>
      </c>
      <c r="AA181" s="195">
        <f t="shared" si="107"/>
        <v>551529.97118431679</v>
      </c>
      <c r="AB181" s="195">
        <f t="shared" si="107"/>
        <v>296295.19444991637</v>
      </c>
      <c r="AC181" s="101"/>
      <c r="AD181" s="195">
        <f t="shared" si="112"/>
        <v>835386.57577343681</v>
      </c>
      <c r="AE181" s="195">
        <f t="shared" si="108"/>
        <v>797571.64005153638</v>
      </c>
      <c r="AF181" s="184">
        <f t="shared" si="108"/>
        <v>-70316.524092683219</v>
      </c>
      <c r="AG181" s="184">
        <f t="shared" si="108"/>
        <v>-108131.45981458359</v>
      </c>
    </row>
    <row r="182" spans="13:33" x14ac:dyDescent="0.3">
      <c r="M182" s="222"/>
      <c r="O182" s="182">
        <f t="shared" si="114"/>
        <v>1675060.8040927772</v>
      </c>
      <c r="P182" s="182">
        <f t="shared" si="114"/>
        <v>1380824.1181159087</v>
      </c>
      <c r="Q182" s="195">
        <f t="shared" si="114"/>
        <v>637005.39952578139</v>
      </c>
      <c r="R182" s="195">
        <f t="shared" si="114"/>
        <v>342768.71354891238</v>
      </c>
      <c r="T182" s="182">
        <f t="shared" si="110"/>
        <v>1648534.2795112771</v>
      </c>
      <c r="U182" s="182">
        <f t="shared" si="106"/>
        <v>1361911.1250281588</v>
      </c>
      <c r="V182" s="195">
        <f t="shared" si="106"/>
        <v>612868.11244428135</v>
      </c>
      <c r="W182" s="195">
        <f t="shared" si="106"/>
        <v>326244.95796116238</v>
      </c>
      <c r="Y182" s="182">
        <f t="shared" si="111"/>
        <v>1625769.6597872772</v>
      </c>
      <c r="Z182" s="182">
        <f t="shared" si="107"/>
        <v>1347062.9624541588</v>
      </c>
      <c r="AA182" s="195">
        <f t="shared" si="107"/>
        <v>592587.7927202814</v>
      </c>
      <c r="AB182" s="195">
        <f t="shared" si="107"/>
        <v>313881.09538716235</v>
      </c>
      <c r="AC182" s="101"/>
      <c r="AD182" s="195">
        <f t="shared" si="112"/>
        <v>935693.63951027719</v>
      </c>
      <c r="AE182" s="195">
        <f t="shared" si="108"/>
        <v>874406.78318965866</v>
      </c>
      <c r="AF182" s="184">
        <f t="shared" si="108"/>
        <v>-29258.702556718607</v>
      </c>
      <c r="AG182" s="184">
        <f t="shared" si="108"/>
        <v>-90545.558877337608</v>
      </c>
    </row>
    <row r="183" spans="13:33" x14ac:dyDescent="0.3">
      <c r="M183" s="111"/>
      <c r="N183" s="8"/>
      <c r="O183" s="194">
        <f t="shared" si="114"/>
        <v>1738402.4826270139</v>
      </c>
      <c r="P183" s="194">
        <f t="shared" si="114"/>
        <v>1426844.0297526924</v>
      </c>
      <c r="Q183" s="196">
        <f t="shared" si="114"/>
        <v>664148.61246776849</v>
      </c>
      <c r="R183" s="196">
        <f t="shared" si="114"/>
        <v>352590.15959344688</v>
      </c>
      <c r="T183" s="194">
        <f t="shared" si="110"/>
        <v>1711875.9580455138</v>
      </c>
      <c r="U183" s="194">
        <f t="shared" si="106"/>
        <v>1407931.0366649425</v>
      </c>
      <c r="V183" s="196">
        <f t="shared" si="106"/>
        <v>640011.32538626844</v>
      </c>
      <c r="W183" s="196">
        <f t="shared" si="106"/>
        <v>336066.40400569688</v>
      </c>
      <c r="Y183" s="194">
        <f t="shared" si="111"/>
        <v>1689111.338321514</v>
      </c>
      <c r="Z183" s="194">
        <f t="shared" si="107"/>
        <v>1393082.8740909426</v>
      </c>
      <c r="AA183" s="196">
        <f t="shared" si="107"/>
        <v>619731.00566226849</v>
      </c>
      <c r="AB183" s="196">
        <f t="shared" si="107"/>
        <v>323702.54143169685</v>
      </c>
      <c r="AC183" s="208"/>
      <c r="AD183" s="196">
        <f t="shared" si="112"/>
        <v>999035.31804451393</v>
      </c>
      <c r="AE183" s="196">
        <f t="shared" si="108"/>
        <v>920426.6948264424</v>
      </c>
      <c r="AF183" s="197">
        <f t="shared" si="108"/>
        <v>-2115.4896147315158</v>
      </c>
      <c r="AG183" s="197">
        <f t="shared" si="108"/>
        <v>-80724.112832803105</v>
      </c>
    </row>
    <row r="184" spans="13:33" x14ac:dyDescent="0.3">
      <c r="M184" s="237"/>
      <c r="N184" s="207"/>
      <c r="O184" s="195">
        <f>O116*(O133+O137)</f>
        <v>348146.37007468584</v>
      </c>
      <c r="P184" s="195">
        <f t="shared" ref="P184:R184" si="115">P116*(P133+P137)</f>
        <v>289934.52159170178</v>
      </c>
      <c r="Q184" s="195">
        <f t="shared" si="115"/>
        <v>130917.47215045882</v>
      </c>
      <c r="R184" s="183">
        <f t="shared" si="115"/>
        <v>72705.623667474807</v>
      </c>
      <c r="T184" s="195">
        <f t="shared" si="110"/>
        <v>321619.84549318586</v>
      </c>
      <c r="U184" s="195">
        <f t="shared" si="106"/>
        <v>271021.52850395179</v>
      </c>
      <c r="V184" s="195">
        <f t="shared" si="106"/>
        <v>106780.18506895882</v>
      </c>
      <c r="W184" s="183">
        <f t="shared" si="106"/>
        <v>56181.868079724809</v>
      </c>
      <c r="Y184" s="195">
        <f t="shared" si="111"/>
        <v>298855.22576918581</v>
      </c>
      <c r="Z184" s="195">
        <f t="shared" si="107"/>
        <v>256173.36592995177</v>
      </c>
      <c r="AA184" s="195">
        <f t="shared" si="107"/>
        <v>86499.865344958816</v>
      </c>
      <c r="AB184" s="183">
        <f t="shared" si="107"/>
        <v>43818.00550572481</v>
      </c>
      <c r="AC184" s="208"/>
      <c r="AD184" s="184">
        <f t="shared" si="112"/>
        <v>-391220.79450781416</v>
      </c>
      <c r="AE184" s="184">
        <f t="shared" si="108"/>
        <v>-216482.81333454826</v>
      </c>
      <c r="AF184" s="184">
        <f t="shared" si="108"/>
        <v>-535346.62993204116</v>
      </c>
      <c r="AG184" s="184">
        <f t="shared" si="108"/>
        <v>-360608.64875877521</v>
      </c>
    </row>
    <row r="185" spans="13:33" ht="28.8" x14ac:dyDescent="0.3">
      <c r="M185" s="222" t="s">
        <v>896</v>
      </c>
      <c r="O185" s="195">
        <f t="shared" ref="O185:R187" si="116">O117*(O134+O138)</f>
        <v>381969.11193400522</v>
      </c>
      <c r="P185" s="195">
        <f t="shared" si="116"/>
        <v>316292.95297397958</v>
      </c>
      <c r="Q185" s="195">
        <f t="shared" si="116"/>
        <v>144551.8504198252</v>
      </c>
      <c r="R185" s="183">
        <f t="shared" si="116"/>
        <v>78875.691459799607</v>
      </c>
      <c r="T185" s="195">
        <f t="shared" si="110"/>
        <v>355442.58735250524</v>
      </c>
      <c r="U185" s="195">
        <f t="shared" si="106"/>
        <v>297379.9598862296</v>
      </c>
      <c r="V185" s="195">
        <f t="shared" si="106"/>
        <v>120414.56333832521</v>
      </c>
      <c r="W185" s="183">
        <f t="shared" si="106"/>
        <v>62351.935872049609</v>
      </c>
      <c r="Y185" s="195">
        <f t="shared" si="111"/>
        <v>332677.9676285052</v>
      </c>
      <c r="Z185" s="195">
        <f t="shared" si="107"/>
        <v>282531.79731222958</v>
      </c>
      <c r="AA185" s="195">
        <f t="shared" si="107"/>
        <v>100134.24361432521</v>
      </c>
      <c r="AB185" s="183">
        <f t="shared" si="107"/>
        <v>49988.07329804961</v>
      </c>
      <c r="AC185" s="101"/>
      <c r="AD185" s="184">
        <f t="shared" si="112"/>
        <v>-357398.05264849478</v>
      </c>
      <c r="AE185" s="184">
        <f t="shared" si="108"/>
        <v>-190124.38195227046</v>
      </c>
      <c r="AF185" s="184">
        <f t="shared" si="108"/>
        <v>-521712.25166267483</v>
      </c>
      <c r="AG185" s="184">
        <f t="shared" si="108"/>
        <v>-354438.58096645039</v>
      </c>
    </row>
    <row r="186" spans="13:33" x14ac:dyDescent="0.3">
      <c r="M186" s="222"/>
      <c r="O186" s="195">
        <f t="shared" si="116"/>
        <v>406299.39232921711</v>
      </c>
      <c r="P186" s="195">
        <f t="shared" si="116"/>
        <v>334929.9313393443</v>
      </c>
      <c r="Q186" s="195">
        <f t="shared" si="116"/>
        <v>154510.75334422311</v>
      </c>
      <c r="R186" s="183">
        <f t="shared" si="116"/>
        <v>83141.292354350226</v>
      </c>
      <c r="T186" s="195">
        <f t="shared" si="110"/>
        <v>379772.86774771713</v>
      </c>
      <c r="U186" s="195">
        <f t="shared" si="106"/>
        <v>316016.93825159431</v>
      </c>
      <c r="V186" s="195">
        <f t="shared" si="106"/>
        <v>130373.46626272312</v>
      </c>
      <c r="W186" s="183">
        <f t="shared" si="106"/>
        <v>66617.536766600228</v>
      </c>
      <c r="Y186" s="195">
        <f t="shared" si="111"/>
        <v>357008.24802371708</v>
      </c>
      <c r="Z186" s="195">
        <f t="shared" si="107"/>
        <v>301168.7756775943</v>
      </c>
      <c r="AA186" s="195">
        <f t="shared" si="107"/>
        <v>110093.14653872311</v>
      </c>
      <c r="AB186" s="183">
        <f t="shared" si="107"/>
        <v>54253.674192600229</v>
      </c>
      <c r="AC186" s="101"/>
      <c r="AD186" s="184">
        <f t="shared" si="112"/>
        <v>-333067.77225328289</v>
      </c>
      <c r="AE186" s="184">
        <f t="shared" si="108"/>
        <v>-171487.40358690574</v>
      </c>
      <c r="AF186" s="184">
        <f t="shared" si="108"/>
        <v>-511753.34873827687</v>
      </c>
      <c r="AG186" s="184">
        <f t="shared" si="108"/>
        <v>-350172.98007189977</v>
      </c>
    </row>
    <row r="187" spans="13:33" x14ac:dyDescent="0.3">
      <c r="M187" s="111"/>
      <c r="N187" s="8"/>
      <c r="O187" s="196">
        <f t="shared" si="116"/>
        <v>421663.42295705545</v>
      </c>
      <c r="P187" s="196">
        <f t="shared" si="116"/>
        <v>346092.42889608006</v>
      </c>
      <c r="Q187" s="196">
        <f t="shared" si="116"/>
        <v>161094.55668870223</v>
      </c>
      <c r="R187" s="193">
        <f t="shared" si="116"/>
        <v>85523.562627726846</v>
      </c>
      <c r="T187" s="196">
        <f t="shared" si="110"/>
        <v>395136.89837555547</v>
      </c>
      <c r="U187" s="196">
        <f t="shared" si="106"/>
        <v>327179.43580833008</v>
      </c>
      <c r="V187" s="196">
        <f t="shared" si="106"/>
        <v>136957.26960720224</v>
      </c>
      <c r="W187" s="193">
        <f t="shared" si="106"/>
        <v>68999.807039976848</v>
      </c>
      <c r="Y187" s="196">
        <f t="shared" si="111"/>
        <v>372372.27865155542</v>
      </c>
      <c r="Z187" s="196">
        <f t="shared" si="107"/>
        <v>312331.27323433006</v>
      </c>
      <c r="AA187" s="196">
        <f t="shared" si="107"/>
        <v>116676.94988320224</v>
      </c>
      <c r="AB187" s="193">
        <f t="shared" si="107"/>
        <v>56635.944465976849</v>
      </c>
      <c r="AC187" s="101"/>
      <c r="AD187" s="197">
        <f t="shared" si="112"/>
        <v>-317703.74162544456</v>
      </c>
      <c r="AE187" s="197">
        <f t="shared" si="108"/>
        <v>-160324.90603016998</v>
      </c>
      <c r="AF187" s="197">
        <f t="shared" si="108"/>
        <v>-505169.5453937978</v>
      </c>
      <c r="AG187" s="197">
        <f t="shared" si="108"/>
        <v>-347790.70979852311</v>
      </c>
    </row>
    <row r="188" spans="13:33" x14ac:dyDescent="0.3">
      <c r="M188" s="237"/>
      <c r="N188" s="207"/>
      <c r="O188" s="183">
        <f>O120*(O133+O137)</f>
        <v>44494.373153853208</v>
      </c>
      <c r="P188" s="183">
        <f t="shared" ref="P188:R188" si="117">P120*(P133+P137)</f>
        <v>37054.687059117205</v>
      </c>
      <c r="Q188" s="183">
        <f t="shared" si="117"/>
        <v>16731.729407295203</v>
      </c>
      <c r="R188" s="183">
        <f t="shared" si="117"/>
        <v>9292.043312559199</v>
      </c>
      <c r="T188" s="183">
        <f t="shared" si="110"/>
        <v>17967.848572353207</v>
      </c>
      <c r="U188" s="183">
        <f t="shared" si="106"/>
        <v>18141.693971367204</v>
      </c>
      <c r="V188" s="184">
        <f t="shared" si="106"/>
        <v>-7405.5576742047961</v>
      </c>
      <c r="W188" s="184">
        <f t="shared" si="106"/>
        <v>-7231.7122751907991</v>
      </c>
      <c r="Y188" s="184">
        <f t="shared" si="111"/>
        <v>-4796.7711516467898</v>
      </c>
      <c r="Z188" s="183">
        <f t="shared" si="107"/>
        <v>3293.5313973672019</v>
      </c>
      <c r="AA188" s="184">
        <f t="shared" si="107"/>
        <v>-27685.877398204797</v>
      </c>
      <c r="AB188" s="184">
        <f t="shared" si="107"/>
        <v>-19595.574849190802</v>
      </c>
      <c r="AC188" s="101"/>
      <c r="AD188" s="184">
        <f t="shared" si="112"/>
        <v>-694872.79142864677</v>
      </c>
      <c r="AE188" s="184">
        <f t="shared" si="108"/>
        <v>-469362.64786713285</v>
      </c>
      <c r="AF188" s="184">
        <f t="shared" si="108"/>
        <v>-649532.37267520477</v>
      </c>
      <c r="AG188" s="184">
        <f t="shared" si="108"/>
        <v>-424022.22911369079</v>
      </c>
    </row>
    <row r="189" spans="13:33" ht="28.8" x14ac:dyDescent="0.3">
      <c r="M189" s="222" t="s">
        <v>897</v>
      </c>
      <c r="O189" s="183">
        <f t="shared" ref="O189:R191" si="118">O121*(O134+O138)</f>
        <v>48817.042659360806</v>
      </c>
      <c r="P189" s="183">
        <f t="shared" si="118"/>
        <v>40423.390519738401</v>
      </c>
      <c r="Q189" s="183">
        <f t="shared" si="118"/>
        <v>18474.252571640802</v>
      </c>
      <c r="R189" s="183">
        <f t="shared" si="118"/>
        <v>10080.6004320184</v>
      </c>
      <c r="T189" s="183">
        <f t="shared" si="110"/>
        <v>22290.518077860805</v>
      </c>
      <c r="U189" s="183">
        <f t="shared" si="106"/>
        <v>21510.3974319884</v>
      </c>
      <c r="V189" s="184">
        <f t="shared" si="106"/>
        <v>-5663.034509859197</v>
      </c>
      <c r="W189" s="184">
        <f t="shared" si="106"/>
        <v>-6443.1551557315979</v>
      </c>
      <c r="Y189" s="184">
        <f t="shared" si="111"/>
        <v>-474.10164613919187</v>
      </c>
      <c r="Z189" s="183">
        <f t="shared" si="107"/>
        <v>6662.2348579883983</v>
      </c>
      <c r="AA189" s="184">
        <f t="shared" si="107"/>
        <v>-25943.354233859198</v>
      </c>
      <c r="AB189" s="184">
        <f t="shared" si="107"/>
        <v>-18807.0177297316</v>
      </c>
      <c r="AC189" s="101"/>
      <c r="AD189" s="184">
        <f t="shared" si="112"/>
        <v>-690550.1219231392</v>
      </c>
      <c r="AE189" s="184">
        <f t="shared" si="108"/>
        <v>-465993.94440651161</v>
      </c>
      <c r="AF189" s="184">
        <f t="shared" si="108"/>
        <v>-647789.84951085923</v>
      </c>
      <c r="AG189" s="184">
        <f t="shared" si="108"/>
        <v>-423233.67199423158</v>
      </c>
    </row>
    <row r="190" spans="13:33" x14ac:dyDescent="0.3">
      <c r="M190" s="222"/>
      <c r="O190" s="183">
        <f t="shared" si="118"/>
        <v>51926.541042498335</v>
      </c>
      <c r="P190" s="183">
        <f t="shared" si="118"/>
        <v>42805.264183022424</v>
      </c>
      <c r="Q190" s="183">
        <f t="shared" si="118"/>
        <v>19747.036610222338</v>
      </c>
      <c r="R190" s="183">
        <f t="shared" si="118"/>
        <v>10625.759750746412</v>
      </c>
      <c r="T190" s="183">
        <f t="shared" si="110"/>
        <v>25400.016460998333</v>
      </c>
      <c r="U190" s="183">
        <f t="shared" si="106"/>
        <v>23892.271095272423</v>
      </c>
      <c r="V190" s="184">
        <f t="shared" si="106"/>
        <v>-4390.2504712776608</v>
      </c>
      <c r="W190" s="184">
        <f t="shared" si="106"/>
        <v>-5897.9958370035856</v>
      </c>
      <c r="Y190" s="184">
        <f t="shared" si="111"/>
        <v>2635.3967369983366</v>
      </c>
      <c r="Z190" s="183">
        <f t="shared" si="107"/>
        <v>9044.1085212724211</v>
      </c>
      <c r="AA190" s="184">
        <f t="shared" si="107"/>
        <v>-24670.570195277662</v>
      </c>
      <c r="AB190" s="184">
        <f t="shared" si="107"/>
        <v>-18261.858411003588</v>
      </c>
      <c r="AC190" s="101"/>
      <c r="AD190" s="184">
        <f t="shared" si="112"/>
        <v>-687440.62354000169</v>
      </c>
      <c r="AE190" s="184">
        <f t="shared" si="108"/>
        <v>-463612.07074322761</v>
      </c>
      <c r="AF190" s="184">
        <f t="shared" si="108"/>
        <v>-646517.0654722777</v>
      </c>
      <c r="AG190" s="184">
        <f t="shared" si="108"/>
        <v>-422688.51267550356</v>
      </c>
    </row>
    <row r="191" spans="13:33" x14ac:dyDescent="0.3">
      <c r="M191" s="111"/>
      <c r="N191" s="8"/>
      <c r="O191" s="193">
        <f t="shared" si="118"/>
        <v>53890.120073225036</v>
      </c>
      <c r="P191" s="193">
        <f t="shared" si="118"/>
        <v>44231.871996028858</v>
      </c>
      <c r="Q191" s="193">
        <f t="shared" si="118"/>
        <v>20588.470639013151</v>
      </c>
      <c r="R191" s="193">
        <f t="shared" si="118"/>
        <v>10930.222561816972</v>
      </c>
      <c r="T191" s="193">
        <f t="shared" si="110"/>
        <v>27363.595491725035</v>
      </c>
      <c r="U191" s="193">
        <f t="shared" si="106"/>
        <v>25318.878908278857</v>
      </c>
      <c r="V191" s="197">
        <f t="shared" si="106"/>
        <v>-3548.8164424868482</v>
      </c>
      <c r="W191" s="197">
        <f t="shared" si="106"/>
        <v>-5593.5330259330258</v>
      </c>
      <c r="Y191" s="197">
        <f t="shared" si="111"/>
        <v>4598.9757677250382</v>
      </c>
      <c r="Z191" s="193">
        <f t="shared" si="107"/>
        <v>10470.716334278855</v>
      </c>
      <c r="AA191" s="197">
        <f t="shared" si="107"/>
        <v>-23829.136166486849</v>
      </c>
      <c r="AB191" s="197">
        <f t="shared" si="107"/>
        <v>-17957.395599933028</v>
      </c>
      <c r="AC191" s="101"/>
      <c r="AD191" s="197">
        <f t="shared" si="112"/>
        <v>-685477.044509275</v>
      </c>
      <c r="AE191" s="197">
        <f t="shared" si="108"/>
        <v>-462185.46293022117</v>
      </c>
      <c r="AF191" s="197">
        <f t="shared" si="108"/>
        <v>-645675.6314434869</v>
      </c>
      <c r="AG191" s="197">
        <f t="shared" si="108"/>
        <v>-422384.04986443301</v>
      </c>
    </row>
    <row r="192" spans="13:33" x14ac:dyDescent="0.3">
      <c r="M192" s="237"/>
      <c r="N192" s="207"/>
      <c r="O192" s="184">
        <f>O124*(O133+O137)</f>
        <v>3241.3119516051997</v>
      </c>
      <c r="P192" s="184">
        <f t="shared" ref="P192:R192" si="119">P124*(P133+P137)</f>
        <v>2699.3480639091999</v>
      </c>
      <c r="Q192" s="184">
        <f t="shared" si="119"/>
        <v>1218.8677051672003</v>
      </c>
      <c r="R192" s="184">
        <f t="shared" si="119"/>
        <v>676.90381747119989</v>
      </c>
      <c r="T192" s="184">
        <f t="shared" si="110"/>
        <v>-23285.212629894802</v>
      </c>
      <c r="U192" s="184">
        <f t="shared" si="110"/>
        <v>-16213.645023840802</v>
      </c>
      <c r="V192" s="184">
        <f t="shared" si="110"/>
        <v>-22918.4193763328</v>
      </c>
      <c r="W192" s="184">
        <f t="shared" si="110"/>
        <v>-15846.851770278798</v>
      </c>
      <c r="Y192" s="184">
        <f t="shared" si="111"/>
        <v>-46049.832353894795</v>
      </c>
      <c r="Z192" s="184">
        <f t="shared" si="111"/>
        <v>-31061.807597840801</v>
      </c>
      <c r="AA192" s="184">
        <f t="shared" si="111"/>
        <v>-43198.739100332801</v>
      </c>
      <c r="AB192" s="184">
        <f t="shared" si="111"/>
        <v>-28210.7143442788</v>
      </c>
      <c r="AC192" s="101"/>
      <c r="AD192" s="184">
        <f t="shared" si="112"/>
        <v>-736125.85263089475</v>
      </c>
      <c r="AE192" s="184">
        <f t="shared" si="112"/>
        <v>-503717.98686234083</v>
      </c>
      <c r="AF192" s="184">
        <f t="shared" si="112"/>
        <v>-665045.23437733285</v>
      </c>
      <c r="AG192" s="184">
        <f t="shared" si="112"/>
        <v>-432637.36860877881</v>
      </c>
    </row>
    <row r="193" spans="13:33" ht="28.8" x14ac:dyDescent="0.3">
      <c r="M193" s="222" t="s">
        <v>898</v>
      </c>
      <c r="O193" s="184">
        <f t="shared" ref="O193:R195" si="120">O125*(O134+O138)</f>
        <v>3556.2084056487997</v>
      </c>
      <c r="P193" s="184">
        <f t="shared" si="120"/>
        <v>2944.7503027623998</v>
      </c>
      <c r="Q193" s="184">
        <f t="shared" si="120"/>
        <v>1345.8064787287999</v>
      </c>
      <c r="R193" s="184">
        <f t="shared" si="120"/>
        <v>734.34837584240006</v>
      </c>
      <c r="T193" s="184">
        <f t="shared" si="110"/>
        <v>-22970.316175851203</v>
      </c>
      <c r="U193" s="184">
        <f t="shared" si="110"/>
        <v>-15968.2427849876</v>
      </c>
      <c r="V193" s="184">
        <f t="shared" si="110"/>
        <v>-22791.4806027712</v>
      </c>
      <c r="W193" s="184">
        <f t="shared" si="110"/>
        <v>-15789.407211907597</v>
      </c>
      <c r="Y193" s="184">
        <f t="shared" si="111"/>
        <v>-45734.935899851196</v>
      </c>
      <c r="Z193" s="184">
        <f t="shared" si="111"/>
        <v>-30816.405358987602</v>
      </c>
      <c r="AA193" s="184">
        <f t="shared" si="111"/>
        <v>-43071.800326771197</v>
      </c>
      <c r="AB193" s="184">
        <f t="shared" si="111"/>
        <v>-28153.2697859076</v>
      </c>
      <c r="AC193" s="101"/>
      <c r="AD193" s="184">
        <f t="shared" si="112"/>
        <v>-735810.95617685118</v>
      </c>
      <c r="AE193" s="184">
        <f t="shared" si="112"/>
        <v>-503472.58462348767</v>
      </c>
      <c r="AF193" s="184">
        <f t="shared" si="112"/>
        <v>-664918.29560377123</v>
      </c>
      <c r="AG193" s="184">
        <f t="shared" si="112"/>
        <v>-432579.9240504076</v>
      </c>
    </row>
    <row r="194" spans="13:33" x14ac:dyDescent="0.3">
      <c r="M194" s="222"/>
      <c r="O194" s="184">
        <f t="shared" si="120"/>
        <v>3782.7281554137853</v>
      </c>
      <c r="P194" s="184">
        <f t="shared" si="120"/>
        <v>3118.264278233421</v>
      </c>
      <c r="Q194" s="184">
        <f t="shared" si="120"/>
        <v>1438.5258457777857</v>
      </c>
      <c r="R194" s="184">
        <f t="shared" si="120"/>
        <v>774.06196859742067</v>
      </c>
      <c r="T194" s="184">
        <f t="shared" ref="T194:W199" si="121">O194-T$147</f>
        <v>-22743.796426086217</v>
      </c>
      <c r="U194" s="184">
        <f t="shared" si="121"/>
        <v>-15794.72880951658</v>
      </c>
      <c r="V194" s="184">
        <f t="shared" si="121"/>
        <v>-22698.761235722213</v>
      </c>
      <c r="W194" s="184">
        <f t="shared" si="121"/>
        <v>-15749.693619152578</v>
      </c>
      <c r="Y194" s="184">
        <f t="shared" si="111"/>
        <v>-45508.41615008621</v>
      </c>
      <c r="Z194" s="184">
        <f t="shared" si="111"/>
        <v>-30642.89138351658</v>
      </c>
      <c r="AA194" s="184">
        <f t="shared" si="111"/>
        <v>-42979.080959722211</v>
      </c>
      <c r="AB194" s="184">
        <f t="shared" si="111"/>
        <v>-28113.556193152581</v>
      </c>
      <c r="AC194" s="101"/>
      <c r="AD194" s="184">
        <f t="shared" si="112"/>
        <v>-735584.43642708624</v>
      </c>
      <c r="AE194" s="184">
        <f t="shared" si="112"/>
        <v>-503299.07064801664</v>
      </c>
      <c r="AF194" s="184">
        <f t="shared" si="112"/>
        <v>-664825.57623672218</v>
      </c>
      <c r="AG194" s="184">
        <f t="shared" si="112"/>
        <v>-432540.21045765257</v>
      </c>
    </row>
    <row r="195" spans="13:33" x14ac:dyDescent="0.3">
      <c r="M195" s="111"/>
      <c r="N195" s="8"/>
      <c r="O195" s="197">
        <f t="shared" si="120"/>
        <v>3925.7703364601011</v>
      </c>
      <c r="P195" s="197">
        <f t="shared" si="120"/>
        <v>3222.1893507040882</v>
      </c>
      <c r="Q195" s="197">
        <f t="shared" si="120"/>
        <v>1499.8223644314212</v>
      </c>
      <c r="R195" s="197">
        <f t="shared" si="120"/>
        <v>796.24137867540855</v>
      </c>
      <c r="T195" s="197">
        <f t="shared" si="121"/>
        <v>-22600.754245039901</v>
      </c>
      <c r="U195" s="197">
        <f t="shared" si="121"/>
        <v>-15690.803737045913</v>
      </c>
      <c r="V195" s="197">
        <f t="shared" si="121"/>
        <v>-22637.464717068578</v>
      </c>
      <c r="W195" s="197">
        <f t="shared" si="121"/>
        <v>-15727.51420907459</v>
      </c>
      <c r="Y195" s="197">
        <f t="shared" si="111"/>
        <v>-45365.373969039894</v>
      </c>
      <c r="Z195" s="197">
        <f t="shared" si="111"/>
        <v>-30538.966311045915</v>
      </c>
      <c r="AA195" s="197">
        <f t="shared" si="111"/>
        <v>-42917.784441068579</v>
      </c>
      <c r="AB195" s="197">
        <f t="shared" si="111"/>
        <v>-28091.376783074593</v>
      </c>
      <c r="AC195" s="101"/>
      <c r="AD195" s="197">
        <f t="shared" si="112"/>
        <v>-735441.39424603991</v>
      </c>
      <c r="AE195" s="197">
        <f t="shared" si="112"/>
        <v>-503195.14557554596</v>
      </c>
      <c r="AF195" s="197">
        <f t="shared" si="112"/>
        <v>-664764.27971806854</v>
      </c>
      <c r="AG195" s="197">
        <f t="shared" si="112"/>
        <v>-432518.03104757459</v>
      </c>
    </row>
    <row r="196" spans="13:33" x14ac:dyDescent="0.3">
      <c r="M196" s="237"/>
      <c r="N196" s="207"/>
      <c r="O196" s="184">
        <f>O128*(O133+O137)</f>
        <v>441.99708430980002</v>
      </c>
      <c r="P196" s="184">
        <f t="shared" ref="P196:R196" si="122">P128*(P133+P137)</f>
        <v>368.09291780579997</v>
      </c>
      <c r="Q196" s="184">
        <f t="shared" si="122"/>
        <v>166.20923252280005</v>
      </c>
      <c r="R196" s="184">
        <f t="shared" si="122"/>
        <v>92.305066018799991</v>
      </c>
      <c r="T196" s="184">
        <f t="shared" si="121"/>
        <v>-26084.5274971902</v>
      </c>
      <c r="U196" s="184">
        <f t="shared" si="121"/>
        <v>-18544.900169944201</v>
      </c>
      <c r="V196" s="184">
        <f t="shared" si="121"/>
        <v>-23971.077848977198</v>
      </c>
      <c r="W196" s="184">
        <f t="shared" si="121"/>
        <v>-16431.4505217312</v>
      </c>
      <c r="Y196" s="184">
        <f t="shared" si="111"/>
        <v>-48849.1472211902</v>
      </c>
      <c r="Z196" s="184">
        <f t="shared" si="111"/>
        <v>-33393.062743944203</v>
      </c>
      <c r="AA196" s="184">
        <f t="shared" si="111"/>
        <v>-44251.397572977199</v>
      </c>
      <c r="AB196" s="184">
        <f t="shared" si="111"/>
        <v>-28795.313095731202</v>
      </c>
      <c r="AC196" s="101"/>
      <c r="AD196" s="184">
        <f t="shared" si="112"/>
        <v>-738925.16749819019</v>
      </c>
      <c r="AE196" s="184">
        <f t="shared" si="112"/>
        <v>-506049.24200844421</v>
      </c>
      <c r="AF196" s="184">
        <f t="shared" si="112"/>
        <v>-666097.89284997724</v>
      </c>
      <c r="AG196" s="184">
        <f t="shared" si="112"/>
        <v>-433221.96736023121</v>
      </c>
    </row>
    <row r="197" spans="13:33" x14ac:dyDescent="0.3">
      <c r="M197" s="222" t="s">
        <v>825</v>
      </c>
      <c r="O197" s="184">
        <f t="shared" ref="O197:R199" si="123">O129*(O134+O138)</f>
        <v>484.93750986119994</v>
      </c>
      <c r="P197" s="184">
        <f t="shared" si="123"/>
        <v>401.55685946759996</v>
      </c>
      <c r="Q197" s="184">
        <f t="shared" si="123"/>
        <v>183.5190652812</v>
      </c>
      <c r="R197" s="184">
        <f t="shared" si="123"/>
        <v>100.13841488760001</v>
      </c>
      <c r="T197" s="184">
        <f t="shared" si="121"/>
        <v>-26041.587071638802</v>
      </c>
      <c r="U197" s="184">
        <f t="shared" si="121"/>
        <v>-18511.4362282824</v>
      </c>
      <c r="V197" s="184">
        <f t="shared" si="121"/>
        <v>-23953.768016218797</v>
      </c>
      <c r="W197" s="184">
        <f t="shared" si="121"/>
        <v>-16423.617172862399</v>
      </c>
      <c r="Y197" s="184">
        <f t="shared" si="111"/>
        <v>-48806.206795638798</v>
      </c>
      <c r="Z197" s="184">
        <f t="shared" si="111"/>
        <v>-33359.598802282402</v>
      </c>
      <c r="AA197" s="184">
        <f t="shared" si="111"/>
        <v>-44234.087740218798</v>
      </c>
      <c r="AB197" s="184">
        <f t="shared" si="111"/>
        <v>-28787.479746862402</v>
      </c>
      <c r="AC197" s="101"/>
      <c r="AD197" s="184">
        <f t="shared" si="112"/>
        <v>-738882.22707263881</v>
      </c>
      <c r="AE197" s="184">
        <f t="shared" si="112"/>
        <v>-506015.77806678246</v>
      </c>
      <c r="AF197" s="184">
        <f t="shared" si="112"/>
        <v>-666080.58301721886</v>
      </c>
      <c r="AG197" s="184">
        <f t="shared" si="112"/>
        <v>-433214.13401136239</v>
      </c>
    </row>
    <row r="198" spans="13:33" x14ac:dyDescent="0.3">
      <c r="M198" s="221" t="s">
        <v>900</v>
      </c>
      <c r="O198" s="184">
        <f t="shared" si="123"/>
        <v>515.8265666473344</v>
      </c>
      <c r="P198" s="184">
        <f t="shared" si="123"/>
        <v>425.21785612273925</v>
      </c>
      <c r="Q198" s="184">
        <f t="shared" si="123"/>
        <v>196.16261533333446</v>
      </c>
      <c r="R198" s="184">
        <f t="shared" si="123"/>
        <v>105.55390480873918</v>
      </c>
      <c r="T198" s="184">
        <f t="shared" si="121"/>
        <v>-26010.698014852667</v>
      </c>
      <c r="U198" s="184">
        <f t="shared" si="121"/>
        <v>-18487.77523162726</v>
      </c>
      <c r="V198" s="184">
        <f t="shared" si="121"/>
        <v>-23941.124466166664</v>
      </c>
      <c r="W198" s="184">
        <f t="shared" si="121"/>
        <v>-16418.201682941261</v>
      </c>
      <c r="Y198" s="184">
        <f t="shared" si="111"/>
        <v>-48775.317738852667</v>
      </c>
      <c r="Z198" s="184">
        <f t="shared" si="111"/>
        <v>-33335.937805627262</v>
      </c>
      <c r="AA198" s="184">
        <f t="shared" si="111"/>
        <v>-44221.444190166665</v>
      </c>
      <c r="AB198" s="184">
        <f t="shared" si="111"/>
        <v>-28782.064256941263</v>
      </c>
      <c r="AC198" s="101"/>
      <c r="AD198" s="184">
        <f t="shared" si="112"/>
        <v>-738851.33801585261</v>
      </c>
      <c r="AE198" s="184">
        <f t="shared" si="112"/>
        <v>-505992.11707012728</v>
      </c>
      <c r="AF198" s="184">
        <f t="shared" si="112"/>
        <v>-666067.93946716667</v>
      </c>
      <c r="AG198" s="184">
        <f t="shared" si="112"/>
        <v>-433208.71852144122</v>
      </c>
    </row>
    <row r="199" spans="13:33" x14ac:dyDescent="0.3">
      <c r="M199" s="8"/>
      <c r="N199" s="8"/>
      <c r="O199" s="197">
        <f t="shared" si="123"/>
        <v>535.33231860819558</v>
      </c>
      <c r="P199" s="197">
        <f t="shared" si="123"/>
        <v>439.38945691419383</v>
      </c>
      <c r="Q199" s="197">
        <f t="shared" si="123"/>
        <v>204.52123151337568</v>
      </c>
      <c r="R199" s="197">
        <f t="shared" si="123"/>
        <v>108.5783698193739</v>
      </c>
      <c r="T199" s="184">
        <f t="shared" si="121"/>
        <v>-25991.192262891807</v>
      </c>
      <c r="U199" s="184">
        <f t="shared" si="121"/>
        <v>-18473.603630835809</v>
      </c>
      <c r="V199" s="184">
        <f t="shared" si="121"/>
        <v>-23932.765849986623</v>
      </c>
      <c r="W199" s="184">
        <f t="shared" si="121"/>
        <v>-16415.177217930624</v>
      </c>
      <c r="Y199" s="184">
        <f t="shared" si="111"/>
        <v>-48755.8119868918</v>
      </c>
      <c r="Z199" s="184">
        <f t="shared" si="111"/>
        <v>-33321.766204835811</v>
      </c>
      <c r="AA199" s="184">
        <f t="shared" si="111"/>
        <v>-44213.085573986624</v>
      </c>
      <c r="AB199" s="184">
        <f t="shared" si="111"/>
        <v>-28779.039791930627</v>
      </c>
      <c r="AC199" s="101"/>
      <c r="AD199" s="184">
        <f t="shared" si="112"/>
        <v>-738831.83226389182</v>
      </c>
      <c r="AE199" s="184">
        <f t="shared" si="112"/>
        <v>-505977.94546933583</v>
      </c>
      <c r="AF199" s="184">
        <f t="shared" si="112"/>
        <v>-666059.58085098665</v>
      </c>
      <c r="AG199" s="184">
        <f t="shared" si="112"/>
        <v>-433205.6940564306</v>
      </c>
    </row>
    <row r="200" spans="13:33" x14ac:dyDescent="0.3">
      <c r="O200" s="198"/>
    </row>
    <row r="201" spans="13:33" x14ac:dyDescent="0.3">
      <c r="O201" s="198"/>
    </row>
    <row r="202" spans="13:33" x14ac:dyDescent="0.3">
      <c r="N202" s="1" t="s">
        <v>858</v>
      </c>
      <c r="T202" s="221" t="s">
        <v>944</v>
      </c>
      <c r="Y202" s="221" t="s">
        <v>943</v>
      </c>
      <c r="AD202" s="221" t="s">
        <v>945</v>
      </c>
    </row>
    <row r="203" spans="13:33" x14ac:dyDescent="0.3">
      <c r="M203" s="176" t="s">
        <v>821</v>
      </c>
      <c r="N203" s="8"/>
      <c r="O203" s="188" t="s">
        <v>826</v>
      </c>
      <c r="P203" s="188" t="s">
        <v>827</v>
      </c>
      <c r="Q203" s="188" t="s">
        <v>828</v>
      </c>
      <c r="R203" s="188" t="s">
        <v>829</v>
      </c>
      <c r="T203" s="170">
        <v>26526.524581500002</v>
      </c>
      <c r="U203" s="170">
        <v>18912.993087750001</v>
      </c>
      <c r="V203" s="170">
        <v>24137.287081499999</v>
      </c>
      <c r="W203" s="170">
        <v>16523.755587749998</v>
      </c>
      <c r="X203" s="8"/>
      <c r="Y203" s="170">
        <v>49291.144305499998</v>
      </c>
      <c r="Z203" s="170">
        <v>33761.155661750003</v>
      </c>
      <c r="AA203" s="170">
        <v>44417.6068055</v>
      </c>
      <c r="AB203" s="170">
        <v>28887.618161750001</v>
      </c>
      <c r="AC203" s="8"/>
      <c r="AD203" s="170">
        <f>Y203*15</f>
        <v>739367.1645825</v>
      </c>
      <c r="AE203" s="170">
        <f>Z203*15</f>
        <v>506417.33492625004</v>
      </c>
      <c r="AF203" s="170">
        <f>AA203*15</f>
        <v>666264.1020825</v>
      </c>
      <c r="AG203" s="170">
        <f>AB203*15</f>
        <v>433314.27242624998</v>
      </c>
    </row>
    <row r="204" spans="13:33" x14ac:dyDescent="0.3">
      <c r="M204" s="225"/>
      <c r="N204" s="207"/>
      <c r="O204" s="182">
        <f>O74*O133</f>
        <v>126790312.05059999</v>
      </c>
      <c r="P204" s="182">
        <f t="shared" ref="P204:R204" si="124">P74*P133</f>
        <v>102155589.88259999</v>
      </c>
      <c r="Q204" s="182">
        <f t="shared" si="124"/>
        <v>34861028.121600002</v>
      </c>
      <c r="R204" s="182">
        <f t="shared" si="124"/>
        <v>10226305.953600001</v>
      </c>
      <c r="T204" s="182">
        <f>O204-T$147</f>
        <v>126763785.52601849</v>
      </c>
      <c r="U204" s="182">
        <f t="shared" ref="U204:W219" si="125">P204-U$147</f>
        <v>102136676.88951224</v>
      </c>
      <c r="V204" s="182">
        <f t="shared" si="125"/>
        <v>34836890.8345185</v>
      </c>
      <c r="W204" s="182">
        <f t="shared" si="125"/>
        <v>10209782.198012251</v>
      </c>
      <c r="X204" s="207"/>
      <c r="Y204" s="182">
        <f>O204-Y$203</f>
        <v>126741020.90629449</v>
      </c>
      <c r="Z204" s="182">
        <f t="shared" ref="Z204:AB219" si="126">P204-Z$203</f>
        <v>102121828.72693825</v>
      </c>
      <c r="AA204" s="182">
        <f t="shared" si="126"/>
        <v>34816610.514794499</v>
      </c>
      <c r="AB204" s="182">
        <f t="shared" si="126"/>
        <v>10197418.335438251</v>
      </c>
      <c r="AC204" s="207"/>
      <c r="AD204" s="182">
        <f>O204-AD$203</f>
        <v>126050944.88601749</v>
      </c>
      <c r="AE204" s="182">
        <f t="shared" ref="AE204:AG219" si="127">P204-AE$203</f>
        <v>101649172.54767375</v>
      </c>
      <c r="AF204" s="182">
        <f t="shared" si="127"/>
        <v>34194764.019517504</v>
      </c>
      <c r="AG204" s="182">
        <f t="shared" si="127"/>
        <v>9792991.6811737511</v>
      </c>
    </row>
    <row r="205" spans="13:33" x14ac:dyDescent="0.3">
      <c r="M205" s="222" t="s">
        <v>824</v>
      </c>
      <c r="O205" s="182">
        <f t="shared" ref="O205:R207" si="128">O75*O134</f>
        <v>139443409.80399999</v>
      </c>
      <c r="P205" s="182">
        <f t="shared" si="128"/>
        <v>111649859.67279999</v>
      </c>
      <c r="Q205" s="182">
        <f t="shared" si="128"/>
        <v>38970594.944000006</v>
      </c>
      <c r="R205" s="182">
        <f t="shared" si="128"/>
        <v>11177044.812799999</v>
      </c>
      <c r="T205" s="182">
        <f>O205-T$147</f>
        <v>139416883.2794185</v>
      </c>
      <c r="U205" s="182">
        <f t="shared" si="125"/>
        <v>111630946.67971224</v>
      </c>
      <c r="V205" s="182">
        <f t="shared" si="125"/>
        <v>38946457.656918503</v>
      </c>
      <c r="W205" s="182">
        <f t="shared" si="125"/>
        <v>11160521.05721225</v>
      </c>
      <c r="Y205" s="182">
        <f>O205-Y$203</f>
        <v>139394118.65969449</v>
      </c>
      <c r="Z205" s="182">
        <f t="shared" si="126"/>
        <v>111616098.51713824</v>
      </c>
      <c r="AA205" s="182">
        <f t="shared" si="126"/>
        <v>38926177.337194502</v>
      </c>
      <c r="AB205" s="182">
        <f t="shared" si="126"/>
        <v>11148157.19463825</v>
      </c>
      <c r="AC205" s="101"/>
      <c r="AD205" s="182">
        <f>O205-AD$203</f>
        <v>138704042.6394175</v>
      </c>
      <c r="AE205" s="182">
        <f t="shared" si="127"/>
        <v>111143442.33787374</v>
      </c>
      <c r="AF205" s="182">
        <f t="shared" si="127"/>
        <v>38304330.841917507</v>
      </c>
      <c r="AG205" s="182">
        <f t="shared" si="127"/>
        <v>10743730.54037375</v>
      </c>
    </row>
    <row r="206" spans="13:33" x14ac:dyDescent="0.3">
      <c r="M206" s="222" t="s">
        <v>899</v>
      </c>
      <c r="O206" s="182">
        <f t="shared" si="128"/>
        <v>148611460.21720001</v>
      </c>
      <c r="P206" s="182">
        <f t="shared" si="128"/>
        <v>118408556.7090016</v>
      </c>
      <c r="Q206" s="182">
        <f t="shared" si="128"/>
        <v>42056809.779200003</v>
      </c>
      <c r="R206" s="182">
        <f t="shared" si="128"/>
        <v>11853906.2710016</v>
      </c>
      <c r="T206" s="182">
        <f t="shared" ref="T206:W227" si="129">O206-T$147</f>
        <v>148584933.69261852</v>
      </c>
      <c r="U206" s="182">
        <f t="shared" si="125"/>
        <v>118389643.71591385</v>
      </c>
      <c r="V206" s="182">
        <f t="shared" si="125"/>
        <v>42032672.4921185</v>
      </c>
      <c r="W206" s="182">
        <f t="shared" si="125"/>
        <v>11837382.515413851</v>
      </c>
      <c r="Y206" s="182">
        <f t="shared" ref="Y206:AB227" si="130">O206-Y$203</f>
        <v>148562169.07289451</v>
      </c>
      <c r="Z206" s="182">
        <f t="shared" si="126"/>
        <v>118374795.55333985</v>
      </c>
      <c r="AA206" s="182">
        <f t="shared" si="126"/>
        <v>42012392.172394499</v>
      </c>
      <c r="AB206" s="182">
        <f t="shared" si="126"/>
        <v>11825018.652839851</v>
      </c>
      <c r="AC206" s="101"/>
      <c r="AD206" s="182">
        <f t="shared" ref="AD206:AG227" si="131">O206-AD$203</f>
        <v>147872093.05261752</v>
      </c>
      <c r="AE206" s="182">
        <f t="shared" si="127"/>
        <v>117902139.37407535</v>
      </c>
      <c r="AF206" s="182">
        <f t="shared" si="127"/>
        <v>41390545.677117504</v>
      </c>
      <c r="AG206" s="182">
        <f t="shared" si="127"/>
        <v>11420591.99857535</v>
      </c>
    </row>
    <row r="207" spans="13:33" x14ac:dyDescent="0.3">
      <c r="M207" s="111"/>
      <c r="N207" s="8"/>
      <c r="O207" s="194">
        <f t="shared" si="128"/>
        <v>154518875.12247598</v>
      </c>
      <c r="P207" s="194">
        <f t="shared" si="128"/>
        <v>122537921.22447543</v>
      </c>
      <c r="Q207" s="194">
        <f t="shared" si="128"/>
        <v>44248512.757536002</v>
      </c>
      <c r="R207" s="194">
        <f t="shared" si="128"/>
        <v>12267558.859535424</v>
      </c>
      <c r="T207" s="194">
        <f t="shared" si="129"/>
        <v>154492348.59789449</v>
      </c>
      <c r="U207" s="194">
        <f t="shared" si="125"/>
        <v>122519008.23138767</v>
      </c>
      <c r="V207" s="194">
        <f t="shared" si="125"/>
        <v>44224375.470454499</v>
      </c>
      <c r="W207" s="194">
        <f t="shared" si="125"/>
        <v>12251035.103947675</v>
      </c>
      <c r="Y207" s="194">
        <f t="shared" si="130"/>
        <v>154469583.97817048</v>
      </c>
      <c r="Z207" s="194">
        <f t="shared" si="126"/>
        <v>122504160.06881368</v>
      </c>
      <c r="AA207" s="194">
        <f t="shared" si="126"/>
        <v>44204095.150730498</v>
      </c>
      <c r="AB207" s="194">
        <f t="shared" si="126"/>
        <v>12238671.241373675</v>
      </c>
      <c r="AC207" s="101"/>
      <c r="AD207" s="194">
        <f t="shared" si="131"/>
        <v>153779507.95789349</v>
      </c>
      <c r="AE207" s="194">
        <f t="shared" si="127"/>
        <v>122031503.88954918</v>
      </c>
      <c r="AF207" s="194">
        <f t="shared" si="127"/>
        <v>43582248.655453503</v>
      </c>
      <c r="AG207" s="194">
        <f t="shared" si="127"/>
        <v>11834244.587109175</v>
      </c>
    </row>
    <row r="208" spans="13:33" x14ac:dyDescent="0.3">
      <c r="M208" s="237"/>
      <c r="N208" s="207"/>
      <c r="O208" s="182">
        <f>O78*O133</f>
        <v>58477213.40148133</v>
      </c>
      <c r="P208" s="182">
        <f t="shared" ref="P208:R208" si="132">P78*P133</f>
        <v>47115383.920933709</v>
      </c>
      <c r="Q208" s="182">
        <f t="shared" si="132"/>
        <v>16078324.502019383</v>
      </c>
      <c r="R208" s="182">
        <f t="shared" si="132"/>
        <v>4716495.021471763</v>
      </c>
      <c r="T208" s="182">
        <f t="shared" si="129"/>
        <v>58450686.876899831</v>
      </c>
      <c r="U208" s="182">
        <f t="shared" si="125"/>
        <v>47096470.927845955</v>
      </c>
      <c r="V208" s="182">
        <f t="shared" si="125"/>
        <v>16054187.214937882</v>
      </c>
      <c r="W208" s="182">
        <f t="shared" si="125"/>
        <v>4699971.2658840129</v>
      </c>
      <c r="Y208" s="182">
        <f t="shared" si="130"/>
        <v>58427922.257175833</v>
      </c>
      <c r="Z208" s="182">
        <f t="shared" si="126"/>
        <v>47081622.765271962</v>
      </c>
      <c r="AA208" s="182">
        <f t="shared" si="126"/>
        <v>16033906.895213883</v>
      </c>
      <c r="AB208" s="182">
        <f t="shared" si="126"/>
        <v>4687607.403310013</v>
      </c>
      <c r="AC208" s="101"/>
      <c r="AD208" s="182">
        <f t="shared" si="131"/>
        <v>57737846.236898832</v>
      </c>
      <c r="AE208" s="182">
        <f t="shared" si="127"/>
        <v>46608966.586007461</v>
      </c>
      <c r="AF208" s="182">
        <f t="shared" si="127"/>
        <v>15412060.399936883</v>
      </c>
      <c r="AG208" s="182">
        <f t="shared" si="127"/>
        <v>4283180.7490455126</v>
      </c>
    </row>
    <row r="209" spans="13:33" ht="28.8" x14ac:dyDescent="0.3">
      <c r="M209" s="222" t="s">
        <v>901</v>
      </c>
      <c r="O209" s="182">
        <f t="shared" ref="O209:R211" si="133">O79*O134</f>
        <v>64312973.922522441</v>
      </c>
      <c r="P209" s="182">
        <f t="shared" si="133"/>
        <v>51494255.079411432</v>
      </c>
      <c r="Q209" s="182">
        <f t="shared" si="133"/>
        <v>17973706.035312127</v>
      </c>
      <c r="R209" s="182">
        <f t="shared" si="133"/>
        <v>5154987.1922011133</v>
      </c>
      <c r="T209" s="182">
        <f t="shared" si="129"/>
        <v>64286447.397940941</v>
      </c>
      <c r="U209" s="182">
        <f t="shared" si="125"/>
        <v>51475342.086323678</v>
      </c>
      <c r="V209" s="182">
        <f t="shared" si="125"/>
        <v>17949568.748230629</v>
      </c>
      <c r="W209" s="182">
        <f t="shared" si="125"/>
        <v>5138463.4366133632</v>
      </c>
      <c r="Y209" s="182">
        <f t="shared" si="130"/>
        <v>64263682.778216943</v>
      </c>
      <c r="Z209" s="182">
        <f t="shared" si="126"/>
        <v>51460493.923749685</v>
      </c>
      <c r="AA209" s="182">
        <f t="shared" si="126"/>
        <v>17929288.428506628</v>
      </c>
      <c r="AB209" s="182">
        <f t="shared" si="126"/>
        <v>5126099.5740393633</v>
      </c>
      <c r="AC209" s="101"/>
      <c r="AD209" s="182">
        <f t="shared" si="131"/>
        <v>63573606.757939942</v>
      </c>
      <c r="AE209" s="182">
        <f t="shared" si="127"/>
        <v>50987837.744485185</v>
      </c>
      <c r="AF209" s="182">
        <f t="shared" si="127"/>
        <v>17307441.933229629</v>
      </c>
      <c r="AG209" s="182">
        <f t="shared" si="127"/>
        <v>4721672.9197748629</v>
      </c>
    </row>
    <row r="210" spans="13:33" x14ac:dyDescent="0.3">
      <c r="M210" s="222"/>
      <c r="O210" s="182">
        <f t="shared" si="133"/>
        <v>68541388.789695248</v>
      </c>
      <c r="P210" s="182">
        <f t="shared" si="133"/>
        <v>54611447.25687205</v>
      </c>
      <c r="Q210" s="182">
        <f t="shared" si="133"/>
        <v>19397105.351884391</v>
      </c>
      <c r="R210" s="182">
        <f t="shared" si="133"/>
        <v>5467163.8190611899</v>
      </c>
      <c r="T210" s="182">
        <f t="shared" si="129"/>
        <v>68514862.265113741</v>
      </c>
      <c r="U210" s="182">
        <f t="shared" si="125"/>
        <v>54592534.263784297</v>
      </c>
      <c r="V210" s="182">
        <f t="shared" si="125"/>
        <v>19372968.064802893</v>
      </c>
      <c r="W210" s="182">
        <f t="shared" si="125"/>
        <v>5450640.0634734398</v>
      </c>
      <c r="Y210" s="182">
        <f t="shared" si="130"/>
        <v>68492097.645389751</v>
      </c>
      <c r="Z210" s="182">
        <f t="shared" si="126"/>
        <v>54577686.101210304</v>
      </c>
      <c r="AA210" s="182">
        <f t="shared" si="126"/>
        <v>19352687.745078892</v>
      </c>
      <c r="AB210" s="182">
        <f t="shared" si="126"/>
        <v>5438276.2008994399</v>
      </c>
      <c r="AC210" s="101"/>
      <c r="AD210" s="182">
        <f t="shared" si="131"/>
        <v>67802021.625112742</v>
      </c>
      <c r="AE210" s="182">
        <f t="shared" si="127"/>
        <v>54105029.921945803</v>
      </c>
      <c r="AF210" s="182">
        <f t="shared" si="127"/>
        <v>18730841.249801893</v>
      </c>
      <c r="AG210" s="182">
        <f t="shared" si="127"/>
        <v>5033849.5466349395</v>
      </c>
    </row>
    <row r="211" spans="13:33" x14ac:dyDescent="0.3">
      <c r="M211" s="111"/>
      <c r="N211" s="8"/>
      <c r="O211" s="194">
        <f t="shared" si="133"/>
        <v>71265959.432987407</v>
      </c>
      <c r="P211" s="194">
        <f t="shared" si="133"/>
        <v>56515959.723782763</v>
      </c>
      <c r="Q211" s="194">
        <f t="shared" si="133"/>
        <v>20407945.065928694</v>
      </c>
      <c r="R211" s="194">
        <f t="shared" si="133"/>
        <v>5657945.3567240508</v>
      </c>
      <c r="T211" s="194">
        <f t="shared" si="129"/>
        <v>71239432.9084059</v>
      </c>
      <c r="U211" s="194">
        <f t="shared" si="125"/>
        <v>56497046.730695009</v>
      </c>
      <c r="V211" s="194">
        <f t="shared" si="125"/>
        <v>20383807.778847195</v>
      </c>
      <c r="W211" s="194">
        <f t="shared" si="125"/>
        <v>5641421.6011363007</v>
      </c>
      <c r="Y211" s="194">
        <f t="shared" si="130"/>
        <v>71216668.288681909</v>
      </c>
      <c r="Z211" s="194">
        <f t="shared" si="126"/>
        <v>56482198.568121016</v>
      </c>
      <c r="AA211" s="194">
        <f t="shared" si="126"/>
        <v>20363527.459123194</v>
      </c>
      <c r="AB211" s="194">
        <f t="shared" si="126"/>
        <v>5629057.7385623008</v>
      </c>
      <c r="AC211" s="101"/>
      <c r="AD211" s="194">
        <f t="shared" si="131"/>
        <v>70526592.268404901</v>
      </c>
      <c r="AE211" s="194">
        <f t="shared" si="127"/>
        <v>56009542.388856515</v>
      </c>
      <c r="AF211" s="194">
        <f t="shared" si="127"/>
        <v>19741680.963846195</v>
      </c>
      <c r="AG211" s="194">
        <f t="shared" si="127"/>
        <v>5224631.0842978004</v>
      </c>
    </row>
    <row r="212" spans="13:33" x14ac:dyDescent="0.3">
      <c r="M212" s="237"/>
      <c r="N212" s="207"/>
      <c r="O212" s="182">
        <f>O82*O133</f>
        <v>1331932.2280915531</v>
      </c>
      <c r="P212" s="182">
        <f t="shared" ref="P212:R212" si="134">P82*P133</f>
        <v>1073144.4717167129</v>
      </c>
      <c r="Q212" s="195">
        <f t="shared" si="134"/>
        <v>366215.10041740804</v>
      </c>
      <c r="R212" s="195">
        <f t="shared" si="134"/>
        <v>107427.344042568</v>
      </c>
      <c r="T212" s="182">
        <f t="shared" si="129"/>
        <v>1305405.703510053</v>
      </c>
      <c r="U212" s="182">
        <f t="shared" si="125"/>
        <v>1054231.478628963</v>
      </c>
      <c r="V212" s="195">
        <f t="shared" si="125"/>
        <v>342077.81333590805</v>
      </c>
      <c r="W212" s="195">
        <f t="shared" si="125"/>
        <v>90903.588454818004</v>
      </c>
      <c r="Y212" s="182">
        <f t="shared" si="130"/>
        <v>1282641.0837860531</v>
      </c>
      <c r="Z212" s="182">
        <f t="shared" si="126"/>
        <v>1039383.3160549629</v>
      </c>
      <c r="AA212" s="195">
        <f t="shared" si="126"/>
        <v>321797.49361190805</v>
      </c>
      <c r="AB212" s="183">
        <f t="shared" si="126"/>
        <v>78539.725880818005</v>
      </c>
      <c r="AC212" s="101"/>
      <c r="AD212" s="195">
        <f t="shared" si="131"/>
        <v>592565.06350905308</v>
      </c>
      <c r="AE212" s="195">
        <f t="shared" si="127"/>
        <v>566727.13679046289</v>
      </c>
      <c r="AF212" s="184">
        <f t="shared" si="127"/>
        <v>-300049.00166509196</v>
      </c>
      <c r="AG212" s="184">
        <f t="shared" si="127"/>
        <v>-325886.92838368198</v>
      </c>
    </row>
    <row r="213" spans="13:33" ht="28.8" x14ac:dyDescent="0.3">
      <c r="M213" s="222" t="s">
        <v>902</v>
      </c>
      <c r="O213" s="182">
        <f t="shared" ref="O213:R215" si="135">O83*O134</f>
        <v>1464853.01999102</v>
      </c>
      <c r="P213" s="182">
        <f t="shared" si="135"/>
        <v>1172881.7758627639</v>
      </c>
      <c r="Q213" s="195">
        <f t="shared" si="135"/>
        <v>409386.09988672001</v>
      </c>
      <c r="R213" s="195">
        <f t="shared" si="135"/>
        <v>117414.85575846401</v>
      </c>
      <c r="T213" s="182">
        <f t="shared" si="129"/>
        <v>1438326.4954095199</v>
      </c>
      <c r="U213" s="182">
        <f t="shared" si="125"/>
        <v>1153968.7827750139</v>
      </c>
      <c r="V213" s="195">
        <f t="shared" si="125"/>
        <v>385248.81280522002</v>
      </c>
      <c r="W213" s="195">
        <f t="shared" si="125"/>
        <v>100891.10017071401</v>
      </c>
      <c r="Y213" s="182">
        <f t="shared" si="130"/>
        <v>1415561.87568552</v>
      </c>
      <c r="Z213" s="182">
        <f t="shared" si="126"/>
        <v>1139120.620201014</v>
      </c>
      <c r="AA213" s="195">
        <f t="shared" si="126"/>
        <v>364968.49308122002</v>
      </c>
      <c r="AB213" s="183">
        <f t="shared" si="126"/>
        <v>88527.237596714011</v>
      </c>
      <c r="AC213" s="101"/>
      <c r="AD213" s="195">
        <f t="shared" si="131"/>
        <v>725485.85540851997</v>
      </c>
      <c r="AE213" s="195">
        <f t="shared" si="127"/>
        <v>666464.44093651383</v>
      </c>
      <c r="AF213" s="184">
        <f t="shared" si="127"/>
        <v>-256878.00219577999</v>
      </c>
      <c r="AG213" s="184">
        <f t="shared" si="127"/>
        <v>-315899.41666778596</v>
      </c>
    </row>
    <row r="214" spans="13:33" x14ac:dyDescent="0.3">
      <c r="M214" s="222"/>
      <c r="O214" s="182">
        <f t="shared" si="135"/>
        <v>1561163.3895816861</v>
      </c>
      <c r="P214" s="182">
        <f t="shared" si="135"/>
        <v>1243881.8882280618</v>
      </c>
      <c r="Q214" s="195">
        <f t="shared" si="135"/>
        <v>441806.78673049604</v>
      </c>
      <c r="R214" s="195">
        <f t="shared" si="135"/>
        <v>124525.28537687181</v>
      </c>
      <c r="T214" s="182">
        <f t="shared" si="129"/>
        <v>1534636.865000186</v>
      </c>
      <c r="U214" s="182">
        <f t="shared" si="125"/>
        <v>1224968.8951403119</v>
      </c>
      <c r="V214" s="195">
        <f t="shared" si="125"/>
        <v>417669.49964899605</v>
      </c>
      <c r="W214" s="195">
        <f t="shared" si="125"/>
        <v>108001.52978912181</v>
      </c>
      <c r="Y214" s="182">
        <f t="shared" si="130"/>
        <v>1511872.2452761861</v>
      </c>
      <c r="Z214" s="182">
        <f t="shared" si="126"/>
        <v>1210120.732566312</v>
      </c>
      <c r="AA214" s="195">
        <f t="shared" si="126"/>
        <v>397389.17992499605</v>
      </c>
      <c r="AB214" s="183">
        <f t="shared" si="126"/>
        <v>95637.667215121808</v>
      </c>
      <c r="AC214" s="101"/>
      <c r="AD214" s="195">
        <f t="shared" si="131"/>
        <v>821796.22499918612</v>
      </c>
      <c r="AE214" s="195">
        <f t="shared" si="127"/>
        <v>737464.5533018118</v>
      </c>
      <c r="AF214" s="184">
        <f t="shared" si="127"/>
        <v>-224457.31535200396</v>
      </c>
      <c r="AG214" s="184">
        <f t="shared" si="127"/>
        <v>-308788.98704937816</v>
      </c>
    </row>
    <row r="215" spans="13:33" x14ac:dyDescent="0.3">
      <c r="M215" s="111"/>
      <c r="N215" s="8"/>
      <c r="O215" s="194">
        <f t="shared" si="135"/>
        <v>1623220.7831616104</v>
      </c>
      <c r="P215" s="194">
        <f t="shared" si="135"/>
        <v>1287260.8624631141</v>
      </c>
      <c r="Q215" s="196">
        <f t="shared" si="135"/>
        <v>464830.62651791575</v>
      </c>
      <c r="R215" s="196">
        <f t="shared" si="135"/>
        <v>128870.70581941963</v>
      </c>
      <c r="T215" s="194">
        <f t="shared" si="129"/>
        <v>1596694.2585801103</v>
      </c>
      <c r="U215" s="194">
        <f t="shared" si="125"/>
        <v>1268347.8693753642</v>
      </c>
      <c r="V215" s="196">
        <f t="shared" si="125"/>
        <v>440693.33943641576</v>
      </c>
      <c r="W215" s="196">
        <f t="shared" si="125"/>
        <v>112346.95023166963</v>
      </c>
      <c r="Y215" s="194">
        <f t="shared" si="130"/>
        <v>1573929.6388561104</v>
      </c>
      <c r="Z215" s="194">
        <f t="shared" si="126"/>
        <v>1253499.7068013642</v>
      </c>
      <c r="AA215" s="196">
        <f t="shared" si="126"/>
        <v>420413.01971241576</v>
      </c>
      <c r="AB215" s="193">
        <f t="shared" si="126"/>
        <v>99983.087657669632</v>
      </c>
      <c r="AC215" s="101"/>
      <c r="AD215" s="196">
        <f t="shared" si="131"/>
        <v>883853.61857911036</v>
      </c>
      <c r="AE215" s="196">
        <f t="shared" si="127"/>
        <v>780843.52753686404</v>
      </c>
      <c r="AF215" s="197">
        <f t="shared" si="127"/>
        <v>-201433.47556458425</v>
      </c>
      <c r="AG215" s="197">
        <f t="shared" si="127"/>
        <v>-304443.56660683034</v>
      </c>
    </row>
    <row r="216" spans="13:33" x14ac:dyDescent="0.3">
      <c r="M216" s="237"/>
      <c r="N216" s="207"/>
      <c r="O216" s="195">
        <f>O86*O133</f>
        <v>436919.41532636754</v>
      </c>
      <c r="P216" s="195">
        <f t="shared" ref="P216:R216" si="136">P86*P133</f>
        <v>352028.1627354396</v>
      </c>
      <c r="Q216" s="195">
        <f t="shared" si="136"/>
        <v>120131.10290703361</v>
      </c>
      <c r="R216" s="183">
        <f t="shared" si="136"/>
        <v>35239.8503161056</v>
      </c>
      <c r="T216" s="195">
        <f t="shared" si="129"/>
        <v>410392.89074486756</v>
      </c>
      <c r="U216" s="195">
        <f t="shared" si="125"/>
        <v>333115.16964768962</v>
      </c>
      <c r="V216" s="195">
        <f t="shared" si="125"/>
        <v>95993.815825533617</v>
      </c>
      <c r="W216" s="183">
        <f t="shared" si="125"/>
        <v>18716.094728355602</v>
      </c>
      <c r="Y216" s="195">
        <f t="shared" si="130"/>
        <v>387628.27102086751</v>
      </c>
      <c r="Z216" s="195">
        <f t="shared" si="126"/>
        <v>318267.0070736896</v>
      </c>
      <c r="AA216" s="195">
        <f t="shared" si="126"/>
        <v>75713.496101533616</v>
      </c>
      <c r="AB216" s="183">
        <f t="shared" si="126"/>
        <v>6352.2321543555991</v>
      </c>
      <c r="AC216" s="101"/>
      <c r="AD216" s="184">
        <f t="shared" si="131"/>
        <v>-302447.74925613246</v>
      </c>
      <c r="AE216" s="184">
        <f t="shared" si="127"/>
        <v>-154389.17219081044</v>
      </c>
      <c r="AF216" s="184">
        <f t="shared" si="127"/>
        <v>-546132.99917546636</v>
      </c>
      <c r="AG216" s="184">
        <f t="shared" si="127"/>
        <v>-398074.4221101444</v>
      </c>
    </row>
    <row r="217" spans="13:33" ht="28.8" x14ac:dyDescent="0.3">
      <c r="M217" s="222" t="s">
        <v>903</v>
      </c>
      <c r="O217" s="195">
        <f t="shared" ref="O217:R219" si="137">O87*O134</f>
        <v>480521.99018458393</v>
      </c>
      <c r="P217" s="195">
        <f t="shared" si="137"/>
        <v>384745.41643246874</v>
      </c>
      <c r="Q217" s="195">
        <f t="shared" si="137"/>
        <v>134292.670177024</v>
      </c>
      <c r="R217" s="183">
        <f t="shared" si="137"/>
        <v>38516.096424908799</v>
      </c>
      <c r="T217" s="195">
        <f t="shared" si="129"/>
        <v>453995.46560308395</v>
      </c>
      <c r="U217" s="195">
        <f t="shared" si="125"/>
        <v>365832.42334471876</v>
      </c>
      <c r="V217" s="195">
        <f t="shared" si="125"/>
        <v>110155.38309552401</v>
      </c>
      <c r="W217" s="183">
        <f t="shared" si="125"/>
        <v>21992.340837158801</v>
      </c>
      <c r="Y217" s="195">
        <f t="shared" si="130"/>
        <v>431230.84587908396</v>
      </c>
      <c r="Z217" s="195">
        <f t="shared" si="126"/>
        <v>350984.26077071874</v>
      </c>
      <c r="AA217" s="195">
        <f t="shared" si="126"/>
        <v>89875.063371524011</v>
      </c>
      <c r="AB217" s="183">
        <f t="shared" si="126"/>
        <v>9628.4782631587987</v>
      </c>
      <c r="AC217" s="101"/>
      <c r="AD217" s="184">
        <f t="shared" si="131"/>
        <v>-258845.17439791607</v>
      </c>
      <c r="AE217" s="184">
        <f t="shared" si="127"/>
        <v>-121671.9184937813</v>
      </c>
      <c r="AF217" s="184">
        <f t="shared" si="127"/>
        <v>-531971.43190547603</v>
      </c>
      <c r="AG217" s="184">
        <f t="shared" si="127"/>
        <v>-394798.1760013412</v>
      </c>
    </row>
    <row r="218" spans="13:33" x14ac:dyDescent="0.3">
      <c r="M218" s="222"/>
      <c r="O218" s="195">
        <f t="shared" si="137"/>
        <v>512115.09190847113</v>
      </c>
      <c r="P218" s="195">
        <f t="shared" si="137"/>
        <v>408035.88641921955</v>
      </c>
      <c r="Q218" s="195">
        <f t="shared" si="137"/>
        <v>144927.76649912322</v>
      </c>
      <c r="R218" s="183">
        <f t="shared" si="137"/>
        <v>40848.561009871511</v>
      </c>
      <c r="T218" s="195">
        <f t="shared" si="129"/>
        <v>485588.56732697116</v>
      </c>
      <c r="U218" s="195">
        <f t="shared" si="125"/>
        <v>389122.89333146956</v>
      </c>
      <c r="V218" s="195">
        <f t="shared" si="125"/>
        <v>120790.47941762322</v>
      </c>
      <c r="W218" s="183">
        <f t="shared" si="125"/>
        <v>24324.805422121513</v>
      </c>
      <c r="Y218" s="195">
        <f t="shared" si="130"/>
        <v>462823.94760297111</v>
      </c>
      <c r="Z218" s="195">
        <f t="shared" si="126"/>
        <v>374274.73075746954</v>
      </c>
      <c r="AA218" s="195">
        <f t="shared" si="126"/>
        <v>100510.15969362322</v>
      </c>
      <c r="AB218" s="183">
        <f t="shared" si="126"/>
        <v>11960.942848121511</v>
      </c>
      <c r="AC218" s="101"/>
      <c r="AD218" s="184">
        <f t="shared" si="131"/>
        <v>-227252.07267402887</v>
      </c>
      <c r="AE218" s="184">
        <f t="shared" si="127"/>
        <v>-98381.448507030495</v>
      </c>
      <c r="AF218" s="184">
        <f t="shared" si="127"/>
        <v>-521336.33558337681</v>
      </c>
      <c r="AG218" s="184">
        <f t="shared" si="127"/>
        <v>-392465.7114163785</v>
      </c>
    </row>
    <row r="219" spans="13:33" x14ac:dyDescent="0.3">
      <c r="M219" s="111"/>
      <c r="N219" s="8"/>
      <c r="O219" s="196">
        <f t="shared" si="137"/>
        <v>532472.04367205233</v>
      </c>
      <c r="P219" s="196">
        <f t="shared" si="137"/>
        <v>422265.67653954227</v>
      </c>
      <c r="Q219" s="196">
        <f t="shared" si="137"/>
        <v>152480.37496246907</v>
      </c>
      <c r="R219" s="193">
        <f t="shared" si="137"/>
        <v>42274.007829959068</v>
      </c>
      <c r="T219" s="196">
        <f t="shared" si="129"/>
        <v>505945.51909055235</v>
      </c>
      <c r="U219" s="196">
        <f t="shared" si="125"/>
        <v>403352.68345179228</v>
      </c>
      <c r="V219" s="196">
        <f t="shared" si="125"/>
        <v>128343.08788096908</v>
      </c>
      <c r="W219" s="193">
        <f t="shared" si="125"/>
        <v>25750.25224220907</v>
      </c>
      <c r="Y219" s="196">
        <f t="shared" si="130"/>
        <v>483180.89936655236</v>
      </c>
      <c r="Z219" s="196">
        <f t="shared" si="126"/>
        <v>388504.52087779227</v>
      </c>
      <c r="AA219" s="196">
        <f t="shared" si="126"/>
        <v>108062.76815696908</v>
      </c>
      <c r="AB219" s="193">
        <f t="shared" si="126"/>
        <v>13386.389668209067</v>
      </c>
      <c r="AC219" s="101"/>
      <c r="AD219" s="197">
        <f t="shared" si="131"/>
        <v>-206895.12091044767</v>
      </c>
      <c r="AE219" s="197">
        <f t="shared" si="127"/>
        <v>-84151.658386707772</v>
      </c>
      <c r="AF219" s="197">
        <f t="shared" si="127"/>
        <v>-513783.7271200309</v>
      </c>
      <c r="AG219" s="197">
        <f t="shared" si="127"/>
        <v>-391040.26459629089</v>
      </c>
    </row>
    <row r="220" spans="13:33" x14ac:dyDescent="0.3">
      <c r="M220" s="237"/>
      <c r="N220" s="207"/>
      <c r="O220" s="183">
        <f>O90*O133</f>
        <v>66311.333202463793</v>
      </c>
      <c r="P220" s="183">
        <f t="shared" ref="P220:R220" si="138">P90*P133</f>
        <v>53427.373508599798</v>
      </c>
      <c r="Q220" s="183">
        <f t="shared" si="138"/>
        <v>18232.317707596798</v>
      </c>
      <c r="R220" s="184">
        <f t="shared" si="138"/>
        <v>5348.3580137328008</v>
      </c>
      <c r="T220" s="183">
        <f t="shared" si="129"/>
        <v>39784.808620963791</v>
      </c>
      <c r="U220" s="183">
        <f t="shared" si="129"/>
        <v>34514.380420849797</v>
      </c>
      <c r="V220" s="184">
        <f t="shared" si="129"/>
        <v>-5904.9693739032009</v>
      </c>
      <c r="W220" s="184">
        <f t="shared" si="129"/>
        <v>-11175.397574017197</v>
      </c>
      <c r="Y220" s="183">
        <f t="shared" si="130"/>
        <v>17020.188896963795</v>
      </c>
      <c r="Z220" s="183">
        <f t="shared" si="130"/>
        <v>19666.217846849795</v>
      </c>
      <c r="AA220" s="184">
        <f t="shared" si="130"/>
        <v>-26185.289097903202</v>
      </c>
      <c r="AB220" s="184">
        <f t="shared" si="130"/>
        <v>-23539.260148017202</v>
      </c>
      <c r="AC220" s="101"/>
      <c r="AD220" s="184">
        <f t="shared" si="131"/>
        <v>-673055.83138003619</v>
      </c>
      <c r="AE220" s="184">
        <f t="shared" si="131"/>
        <v>-452989.96141765022</v>
      </c>
      <c r="AF220" s="184">
        <f t="shared" si="131"/>
        <v>-648031.78437490319</v>
      </c>
      <c r="AG220" s="184">
        <f t="shared" si="131"/>
        <v>-427965.91441251716</v>
      </c>
    </row>
    <row r="221" spans="13:33" ht="28.8" x14ac:dyDescent="0.3">
      <c r="M221" s="222" t="s">
        <v>904</v>
      </c>
      <c r="O221" s="183">
        <f t="shared" ref="O221:R223" si="139">O91*O134</f>
        <v>72928.903327491993</v>
      </c>
      <c r="P221" s="183">
        <f t="shared" si="139"/>
        <v>58392.876608874401</v>
      </c>
      <c r="Q221" s="183">
        <f t="shared" si="139"/>
        <v>20381.621155712</v>
      </c>
      <c r="R221" s="184">
        <f t="shared" si="139"/>
        <v>5845.5944370944007</v>
      </c>
      <c r="T221" s="183">
        <f t="shared" si="129"/>
        <v>46402.378745991991</v>
      </c>
      <c r="U221" s="183">
        <f t="shared" si="129"/>
        <v>39479.8835211244</v>
      </c>
      <c r="V221" s="184">
        <f t="shared" si="129"/>
        <v>-3755.6659257879983</v>
      </c>
      <c r="W221" s="184">
        <f t="shared" si="129"/>
        <v>-10678.161150655596</v>
      </c>
      <c r="Y221" s="183">
        <f t="shared" si="130"/>
        <v>23637.759021991995</v>
      </c>
      <c r="Z221" s="183">
        <f t="shared" si="130"/>
        <v>24631.720947124399</v>
      </c>
      <c r="AA221" s="184">
        <f t="shared" si="130"/>
        <v>-24035.985649787999</v>
      </c>
      <c r="AB221" s="184">
        <f t="shared" si="130"/>
        <v>-23042.023724655599</v>
      </c>
      <c r="AC221" s="101"/>
      <c r="AD221" s="184">
        <f t="shared" si="131"/>
        <v>-666438.26125500805</v>
      </c>
      <c r="AE221" s="184">
        <f t="shared" si="131"/>
        <v>-448024.45831737563</v>
      </c>
      <c r="AF221" s="184">
        <f t="shared" si="131"/>
        <v>-645882.48092678795</v>
      </c>
      <c r="AG221" s="184">
        <f t="shared" si="131"/>
        <v>-427468.67798915558</v>
      </c>
    </row>
    <row r="222" spans="13:33" x14ac:dyDescent="0.3">
      <c r="M222" s="222"/>
      <c r="O222" s="183">
        <f t="shared" si="139"/>
        <v>77723.793693595595</v>
      </c>
      <c r="P222" s="183">
        <f t="shared" si="139"/>
        <v>61927.67515880784</v>
      </c>
      <c r="Q222" s="183">
        <f t="shared" si="139"/>
        <v>21995.711514521601</v>
      </c>
      <c r="R222" s="184">
        <f t="shared" si="139"/>
        <v>6199.5929797338376</v>
      </c>
      <c r="T222" s="183">
        <f t="shared" si="129"/>
        <v>51197.269112095593</v>
      </c>
      <c r="U222" s="183">
        <f t="shared" si="129"/>
        <v>43014.682071057839</v>
      </c>
      <c r="V222" s="184">
        <f t="shared" si="129"/>
        <v>-2141.5755669783975</v>
      </c>
      <c r="W222" s="184">
        <f t="shared" si="129"/>
        <v>-10324.16260801616</v>
      </c>
      <c r="Y222" s="183">
        <f t="shared" si="130"/>
        <v>28432.649388095597</v>
      </c>
      <c r="Z222" s="183">
        <f t="shared" si="130"/>
        <v>28166.519497057838</v>
      </c>
      <c r="AA222" s="184">
        <f t="shared" si="130"/>
        <v>-22421.895290978398</v>
      </c>
      <c r="AB222" s="184">
        <f t="shared" si="130"/>
        <v>-22688.025182016165</v>
      </c>
      <c r="AC222" s="101"/>
      <c r="AD222" s="184">
        <f t="shared" si="131"/>
        <v>-661643.37088890444</v>
      </c>
      <c r="AE222" s="184">
        <f t="shared" si="131"/>
        <v>-444489.65976744221</v>
      </c>
      <c r="AF222" s="184">
        <f t="shared" si="131"/>
        <v>-644268.39056797838</v>
      </c>
      <c r="AG222" s="184">
        <f t="shared" si="131"/>
        <v>-427114.67944651615</v>
      </c>
    </row>
    <row r="223" spans="13:33" x14ac:dyDescent="0.3">
      <c r="M223" s="111"/>
      <c r="N223" s="8"/>
      <c r="O223" s="193">
        <f t="shared" si="139"/>
        <v>80813.37168905494</v>
      </c>
      <c r="P223" s="193">
        <f t="shared" si="139"/>
        <v>64087.332800400647</v>
      </c>
      <c r="Q223" s="193">
        <f t="shared" si="139"/>
        <v>23141.972172191327</v>
      </c>
      <c r="R223" s="197">
        <f t="shared" si="139"/>
        <v>6415.9332835370269</v>
      </c>
      <c r="T223" s="193">
        <f t="shared" si="129"/>
        <v>54286.847107554939</v>
      </c>
      <c r="U223" s="193">
        <f t="shared" si="129"/>
        <v>45174.339712650646</v>
      </c>
      <c r="V223" s="197">
        <f t="shared" si="129"/>
        <v>-995.31490930867221</v>
      </c>
      <c r="W223" s="197">
        <f t="shared" si="129"/>
        <v>-10107.822304212972</v>
      </c>
      <c r="Y223" s="193">
        <f t="shared" si="130"/>
        <v>31522.227383554942</v>
      </c>
      <c r="Z223" s="193">
        <f t="shared" si="130"/>
        <v>30326.177138650644</v>
      </c>
      <c r="AA223" s="197">
        <f t="shared" si="130"/>
        <v>-21275.634633308673</v>
      </c>
      <c r="AB223" s="197">
        <f t="shared" si="130"/>
        <v>-22471.684878212975</v>
      </c>
      <c r="AC223" s="101"/>
      <c r="AD223" s="197">
        <f t="shared" si="131"/>
        <v>-658553.79289344512</v>
      </c>
      <c r="AE223" s="197">
        <f t="shared" si="131"/>
        <v>-442330.00212584937</v>
      </c>
      <c r="AF223" s="197">
        <f t="shared" si="131"/>
        <v>-643122.12991030863</v>
      </c>
      <c r="AG223" s="197">
        <f t="shared" si="131"/>
        <v>-426898.33914271294</v>
      </c>
    </row>
    <row r="224" spans="13:33" x14ac:dyDescent="0.3">
      <c r="M224" s="237"/>
      <c r="N224" s="207"/>
      <c r="O224" s="184">
        <f>O94*O133</f>
        <v>380.37093615180004</v>
      </c>
      <c r="P224" s="184">
        <f t="shared" ref="P224:R224" si="140">P94*P133</f>
        <v>306.46676964779999</v>
      </c>
      <c r="Q224" s="184">
        <f t="shared" si="140"/>
        <v>104.58308436480002</v>
      </c>
      <c r="R224" s="184">
        <f t="shared" si="140"/>
        <v>30.678917860799999</v>
      </c>
      <c r="T224" s="184">
        <f t="shared" si="129"/>
        <v>-26146.1536453482</v>
      </c>
      <c r="U224" s="184">
        <f t="shared" si="129"/>
        <v>-18606.526318102202</v>
      </c>
      <c r="V224" s="184">
        <f t="shared" si="129"/>
        <v>-24032.703997135199</v>
      </c>
      <c r="W224" s="184">
        <f t="shared" si="129"/>
        <v>-16493.076669889197</v>
      </c>
      <c r="Y224" s="184">
        <f t="shared" si="130"/>
        <v>-48910.773369348201</v>
      </c>
      <c r="Z224" s="184">
        <f t="shared" si="130"/>
        <v>-33454.688892102204</v>
      </c>
      <c r="AA224" s="184">
        <f t="shared" si="130"/>
        <v>-44313.0237211352</v>
      </c>
      <c r="AB224" s="184">
        <f t="shared" si="130"/>
        <v>-28856.939243889199</v>
      </c>
      <c r="AC224" s="101"/>
      <c r="AD224" s="184">
        <f t="shared" si="131"/>
        <v>-738986.79364634817</v>
      </c>
      <c r="AE224" s="184">
        <f t="shared" si="131"/>
        <v>-506110.86815660226</v>
      </c>
      <c r="AF224" s="184">
        <f t="shared" si="131"/>
        <v>-666159.51899813523</v>
      </c>
      <c r="AG224" s="184">
        <f t="shared" si="131"/>
        <v>-433283.5935083892</v>
      </c>
    </row>
    <row r="225" spans="1:33" x14ac:dyDescent="0.3">
      <c r="M225" s="222" t="s">
        <v>825</v>
      </c>
      <c r="O225" s="184">
        <f t="shared" ref="O225:R227" si="141">O95*O134</f>
        <v>418.33022941199994</v>
      </c>
      <c r="P225" s="184">
        <f t="shared" si="141"/>
        <v>334.94957901839996</v>
      </c>
      <c r="Q225" s="184">
        <f t="shared" si="141"/>
        <v>116.91178483200001</v>
      </c>
      <c r="R225" s="184">
        <f t="shared" si="141"/>
        <v>33.531134438399995</v>
      </c>
      <c r="T225" s="184">
        <f t="shared" si="129"/>
        <v>-26108.194352088001</v>
      </c>
      <c r="U225" s="184">
        <f t="shared" si="129"/>
        <v>-18578.0435087316</v>
      </c>
      <c r="V225" s="184">
        <f t="shared" si="129"/>
        <v>-24020.375296668</v>
      </c>
      <c r="W225" s="184">
        <f t="shared" si="129"/>
        <v>-16490.224453311599</v>
      </c>
      <c r="Y225" s="184">
        <f t="shared" si="130"/>
        <v>-48872.814076087998</v>
      </c>
      <c r="Z225" s="184">
        <f t="shared" si="130"/>
        <v>-33426.206082731602</v>
      </c>
      <c r="AA225" s="184">
        <f t="shared" si="130"/>
        <v>-44300.695020667998</v>
      </c>
      <c r="AB225" s="184">
        <f t="shared" si="130"/>
        <v>-28854.087027311602</v>
      </c>
      <c r="AC225" s="101"/>
      <c r="AD225" s="184">
        <f t="shared" si="131"/>
        <v>-738948.83435308805</v>
      </c>
      <c r="AE225" s="184">
        <f t="shared" si="131"/>
        <v>-506082.38534723164</v>
      </c>
      <c r="AF225" s="184">
        <f t="shared" si="131"/>
        <v>-666147.19029766798</v>
      </c>
      <c r="AG225" s="184">
        <f t="shared" si="131"/>
        <v>-433280.74129181157</v>
      </c>
    </row>
    <row r="226" spans="1:33" x14ac:dyDescent="0.3">
      <c r="M226" s="221" t="s">
        <v>900</v>
      </c>
      <c r="O226" s="184">
        <f t="shared" si="141"/>
        <v>445.83438065160004</v>
      </c>
      <c r="P226" s="184">
        <f t="shared" si="141"/>
        <v>355.22567012700483</v>
      </c>
      <c r="Q226" s="184">
        <f t="shared" si="141"/>
        <v>126.17042933760001</v>
      </c>
      <c r="R226" s="184">
        <f t="shared" si="141"/>
        <v>35.561718813004795</v>
      </c>
      <c r="T226" s="184">
        <f t="shared" si="129"/>
        <v>-26080.690200848403</v>
      </c>
      <c r="U226" s="184">
        <f t="shared" si="129"/>
        <v>-18557.767417622996</v>
      </c>
      <c r="V226" s="184">
        <f t="shared" si="129"/>
        <v>-24011.1166521624</v>
      </c>
      <c r="W226" s="184">
        <f t="shared" si="129"/>
        <v>-16488.193868936993</v>
      </c>
      <c r="Y226" s="184">
        <f t="shared" si="130"/>
        <v>-48845.3099248484</v>
      </c>
      <c r="Z226" s="184">
        <f t="shared" si="130"/>
        <v>-33405.929991623001</v>
      </c>
      <c r="AA226" s="184">
        <f t="shared" si="130"/>
        <v>-44291.436376162397</v>
      </c>
      <c r="AB226" s="184">
        <f t="shared" si="130"/>
        <v>-28852.056442936995</v>
      </c>
      <c r="AC226" s="101"/>
      <c r="AD226" s="184">
        <f t="shared" si="131"/>
        <v>-738921.33020184841</v>
      </c>
      <c r="AE226" s="184">
        <f t="shared" si="131"/>
        <v>-506062.10925612302</v>
      </c>
      <c r="AF226" s="184">
        <f t="shared" si="131"/>
        <v>-666137.93165316235</v>
      </c>
      <c r="AG226" s="184">
        <f t="shared" si="131"/>
        <v>-433278.71070743696</v>
      </c>
    </row>
    <row r="227" spans="1:33" x14ac:dyDescent="0.3">
      <c r="A227" s="86"/>
      <c r="M227" s="8"/>
      <c r="N227" s="8"/>
      <c r="O227" s="197">
        <f t="shared" si="141"/>
        <v>463.55662536742796</v>
      </c>
      <c r="P227" s="197">
        <f t="shared" si="141"/>
        <v>367.61376367342621</v>
      </c>
      <c r="Q227" s="197">
        <f t="shared" si="141"/>
        <v>132.74553827260803</v>
      </c>
      <c r="R227" s="197">
        <f t="shared" si="141"/>
        <v>36.802676578606267</v>
      </c>
      <c r="T227" s="197">
        <f t="shared" si="129"/>
        <v>-26062.967956132572</v>
      </c>
      <c r="U227" s="197">
        <f t="shared" si="129"/>
        <v>-18545.379324076574</v>
      </c>
      <c r="V227" s="197">
        <f t="shared" si="129"/>
        <v>-24004.541543227391</v>
      </c>
      <c r="W227" s="197">
        <f t="shared" si="129"/>
        <v>-16486.952911171393</v>
      </c>
      <c r="Y227" s="184">
        <f t="shared" si="130"/>
        <v>-48827.587680132572</v>
      </c>
      <c r="Z227" s="184">
        <f t="shared" si="130"/>
        <v>-33393.541898076575</v>
      </c>
      <c r="AA227" s="184">
        <f t="shared" si="130"/>
        <v>-44284.861267227388</v>
      </c>
      <c r="AB227" s="184">
        <f t="shared" si="130"/>
        <v>-28850.815485171395</v>
      </c>
      <c r="AC227" s="101"/>
      <c r="AD227" s="184">
        <f t="shared" si="131"/>
        <v>-738903.60795713263</v>
      </c>
      <c r="AE227" s="184">
        <f t="shared" si="131"/>
        <v>-506049.72116257664</v>
      </c>
      <c r="AF227" s="184">
        <f t="shared" si="131"/>
        <v>-666131.35654422734</v>
      </c>
      <c r="AG227" s="184">
        <f t="shared" si="131"/>
        <v>-433277.46974967135</v>
      </c>
    </row>
    <row r="229" spans="1:33" x14ac:dyDescent="0.3">
      <c r="M229" s="221" t="s">
        <v>857</v>
      </c>
      <c r="T229" s="221" t="s">
        <v>944</v>
      </c>
      <c r="Y229" s="221" t="s">
        <v>943</v>
      </c>
      <c r="AD229" s="221" t="s">
        <v>945</v>
      </c>
    </row>
    <row r="230" spans="1:33" x14ac:dyDescent="0.3">
      <c r="M230" s="176" t="s">
        <v>821</v>
      </c>
      <c r="N230" s="8"/>
      <c r="O230" s="188" t="s">
        <v>826</v>
      </c>
      <c r="P230" s="188" t="s">
        <v>827</v>
      </c>
      <c r="Q230" s="188" t="s">
        <v>828</v>
      </c>
      <c r="R230" s="188" t="s">
        <v>829</v>
      </c>
      <c r="T230" s="170">
        <v>26526.524581500002</v>
      </c>
      <c r="U230" s="170">
        <v>18912.993087750001</v>
      </c>
      <c r="V230" s="170">
        <v>24137.287081499999</v>
      </c>
      <c r="W230" s="170">
        <v>16523.755587749998</v>
      </c>
      <c r="X230" s="8"/>
      <c r="Y230" s="170">
        <v>49291.144305499998</v>
      </c>
      <c r="Z230" s="170">
        <v>33761.155661750003</v>
      </c>
      <c r="AA230" s="170">
        <v>44417.6068055</v>
      </c>
      <c r="AB230" s="170">
        <v>28887.618161750001</v>
      </c>
      <c r="AC230" s="8"/>
      <c r="AD230" s="170">
        <f>Y230*15</f>
        <v>739367.1645825</v>
      </c>
      <c r="AE230" s="170">
        <f>Z230*15</f>
        <v>506417.33492625004</v>
      </c>
      <c r="AF230" s="170">
        <f>AA230*15</f>
        <v>666264.1020825</v>
      </c>
      <c r="AG230" s="170">
        <f>AB230*15</f>
        <v>433314.27242624998</v>
      </c>
    </row>
    <row r="231" spans="1:33" x14ac:dyDescent="0.3">
      <c r="M231" s="225"/>
      <c r="N231" s="207"/>
      <c r="O231" s="182">
        <f>O74*(O133+O137)</f>
        <v>147332361.4366</v>
      </c>
      <c r="P231" s="182">
        <f t="shared" ref="P231:R231" si="142">P74*(P133+P137)</f>
        <v>122697639.26859999</v>
      </c>
      <c r="Q231" s="182">
        <f t="shared" si="142"/>
        <v>55403077.507600009</v>
      </c>
      <c r="R231" s="182">
        <f t="shared" si="142"/>
        <v>30768355.339600001</v>
      </c>
      <c r="T231" s="182">
        <f>O231-T$147</f>
        <v>147305834.91201851</v>
      </c>
      <c r="U231" s="182">
        <f t="shared" ref="U231:W246" si="143">P231-U$147</f>
        <v>122678726.27551223</v>
      </c>
      <c r="V231" s="182">
        <f t="shared" si="143"/>
        <v>55378940.220518507</v>
      </c>
      <c r="W231" s="182">
        <f t="shared" si="143"/>
        <v>30751831.584012251</v>
      </c>
      <c r="X231" s="207"/>
      <c r="Y231" s="182">
        <f>O231-Y$230</f>
        <v>147283070.2922945</v>
      </c>
      <c r="Z231" s="182">
        <f t="shared" ref="Z231:AB246" si="144">P231-Z$230</f>
        <v>122663878.11293824</v>
      </c>
      <c r="AA231" s="182">
        <f t="shared" si="144"/>
        <v>55358659.900794506</v>
      </c>
      <c r="AB231" s="182">
        <f t="shared" si="144"/>
        <v>30739467.721438251</v>
      </c>
      <c r="AC231" s="207"/>
      <c r="AD231" s="182">
        <f>O231-AD$230</f>
        <v>146592994.27201751</v>
      </c>
      <c r="AE231" s="182">
        <f t="shared" ref="AE231:AG246" si="145">P231-AE$230</f>
        <v>122191221.93367374</v>
      </c>
      <c r="AF231" s="182">
        <f t="shared" si="145"/>
        <v>54736813.405517511</v>
      </c>
      <c r="AG231" s="182">
        <f t="shared" si="145"/>
        <v>30335041.067173749</v>
      </c>
    </row>
    <row r="232" spans="1:33" x14ac:dyDescent="0.3">
      <c r="M232" s="222" t="s">
        <v>824</v>
      </c>
      <c r="O232" s="182">
        <f t="shared" ref="O232:R234" si="146">O75*(O134+O138)</f>
        <v>161645836.62040001</v>
      </c>
      <c r="P232" s="182">
        <f t="shared" si="146"/>
        <v>133852286.4892</v>
      </c>
      <c r="Q232" s="182">
        <f t="shared" si="146"/>
        <v>61173021.760400005</v>
      </c>
      <c r="R232" s="182">
        <f t="shared" si="146"/>
        <v>33379471.6292</v>
      </c>
      <c r="T232" s="182">
        <f>O232-T$147</f>
        <v>161619310.09581852</v>
      </c>
      <c r="U232" s="182">
        <f t="shared" si="143"/>
        <v>133833373.49611224</v>
      </c>
      <c r="V232" s="182">
        <f t="shared" si="143"/>
        <v>61148884.473318502</v>
      </c>
      <c r="W232" s="182">
        <f t="shared" si="143"/>
        <v>33362947.873612251</v>
      </c>
      <c r="Y232" s="182">
        <f>O232-Y$230</f>
        <v>161596545.47609451</v>
      </c>
      <c r="Z232" s="182">
        <f t="shared" si="144"/>
        <v>133818525.33353825</v>
      </c>
      <c r="AA232" s="182">
        <f t="shared" si="144"/>
        <v>61128604.153594501</v>
      </c>
      <c r="AB232" s="182">
        <f t="shared" si="144"/>
        <v>33350584.011038251</v>
      </c>
      <c r="AC232" s="101"/>
      <c r="AD232" s="182">
        <f>O232-AD$230</f>
        <v>160906469.45581752</v>
      </c>
      <c r="AE232" s="182">
        <f t="shared" si="145"/>
        <v>133345869.15427375</v>
      </c>
      <c r="AF232" s="182">
        <f t="shared" si="145"/>
        <v>60506757.658317506</v>
      </c>
      <c r="AG232" s="182">
        <f t="shared" si="145"/>
        <v>32946157.356773749</v>
      </c>
    </row>
    <row r="233" spans="1:33" x14ac:dyDescent="0.3">
      <c r="A233" s="86"/>
      <c r="M233" s="222" t="s">
        <v>899</v>
      </c>
      <c r="O233" s="182">
        <f t="shared" si="146"/>
        <v>171942188.8824448</v>
      </c>
      <c r="P233" s="182">
        <f t="shared" si="146"/>
        <v>141739285.37424639</v>
      </c>
      <c r="Q233" s="182">
        <f t="shared" si="146"/>
        <v>65387538.444444805</v>
      </c>
      <c r="R233" s="182">
        <f t="shared" si="146"/>
        <v>35184634.936246395</v>
      </c>
      <c r="T233" s="182">
        <f t="shared" ref="T233:W254" si="147">O233-T$147</f>
        <v>171915662.35786331</v>
      </c>
      <c r="U233" s="182">
        <f t="shared" si="143"/>
        <v>141720372.38115865</v>
      </c>
      <c r="V233" s="182">
        <f t="shared" si="143"/>
        <v>65363401.157363303</v>
      </c>
      <c r="W233" s="182">
        <f t="shared" si="143"/>
        <v>35168111.180658646</v>
      </c>
      <c r="Y233" s="182">
        <f t="shared" ref="Y233:AB254" si="148">O233-Y$230</f>
        <v>171892897.7381393</v>
      </c>
      <c r="Z233" s="182">
        <f t="shared" si="144"/>
        <v>141705524.21858463</v>
      </c>
      <c r="AA233" s="182">
        <f t="shared" si="144"/>
        <v>65343120.837639302</v>
      </c>
      <c r="AB233" s="182">
        <f t="shared" si="144"/>
        <v>35155747.318084642</v>
      </c>
      <c r="AC233" s="101"/>
      <c r="AD233" s="182">
        <f t="shared" ref="AD233:AG254" si="149">O233-AD$230</f>
        <v>171202821.71786231</v>
      </c>
      <c r="AE233" s="182">
        <f t="shared" si="145"/>
        <v>141232868.03932014</v>
      </c>
      <c r="AF233" s="182">
        <f t="shared" si="145"/>
        <v>64721274.342362307</v>
      </c>
      <c r="AG233" s="182">
        <f t="shared" si="145"/>
        <v>34751320.663820148</v>
      </c>
    </row>
    <row r="234" spans="1:33" x14ac:dyDescent="0.3">
      <c r="M234" s="111"/>
      <c r="N234" s="8"/>
      <c r="O234" s="194">
        <f t="shared" si="146"/>
        <v>178444106.20273185</v>
      </c>
      <c r="P234" s="194">
        <f t="shared" si="146"/>
        <v>146463152.30473128</v>
      </c>
      <c r="Q234" s="194">
        <f t="shared" si="146"/>
        <v>68173743.837791875</v>
      </c>
      <c r="R234" s="194">
        <f t="shared" si="146"/>
        <v>36192789.939791299</v>
      </c>
      <c r="T234" s="194">
        <f t="shared" si="147"/>
        <v>178417579.67815036</v>
      </c>
      <c r="U234" s="194">
        <f t="shared" si="143"/>
        <v>146444239.31164354</v>
      </c>
      <c r="V234" s="194">
        <f t="shared" si="143"/>
        <v>68149606.55071038</v>
      </c>
      <c r="W234" s="194">
        <f t="shared" si="143"/>
        <v>36176266.18420355</v>
      </c>
      <c r="Y234" s="194">
        <f t="shared" si="148"/>
        <v>178394815.05842635</v>
      </c>
      <c r="Z234" s="194">
        <f t="shared" si="144"/>
        <v>146429391.14906952</v>
      </c>
      <c r="AA234" s="194">
        <f t="shared" si="144"/>
        <v>68129326.230986372</v>
      </c>
      <c r="AB234" s="194">
        <f t="shared" si="144"/>
        <v>36163902.321629547</v>
      </c>
      <c r="AC234" s="101"/>
      <c r="AD234" s="194">
        <f t="shared" si="149"/>
        <v>177704739.03814936</v>
      </c>
      <c r="AE234" s="194">
        <f t="shared" si="145"/>
        <v>145956734.96980503</v>
      </c>
      <c r="AF234" s="194">
        <f t="shared" si="145"/>
        <v>67507479.735709369</v>
      </c>
      <c r="AG234" s="194">
        <f t="shared" si="145"/>
        <v>35759475.667365052</v>
      </c>
    </row>
    <row r="235" spans="1:33" x14ac:dyDescent="0.3">
      <c r="M235" s="237"/>
      <c r="N235" s="207"/>
      <c r="O235" s="182">
        <f>O78*(O133+O137)</f>
        <v>67951453.082897171</v>
      </c>
      <c r="P235" s="182">
        <f t="shared" ref="P235:R235" si="150">P78*(P133+P137)</f>
        <v>56589623.602349542</v>
      </c>
      <c r="Q235" s="182">
        <f t="shared" si="150"/>
        <v>25552564.183435217</v>
      </c>
      <c r="R235" s="182">
        <f t="shared" si="150"/>
        <v>14190734.702887593</v>
      </c>
      <c r="T235" s="182">
        <f t="shared" si="147"/>
        <v>67924926.558315665</v>
      </c>
      <c r="U235" s="182">
        <f t="shared" si="143"/>
        <v>56570710.609261788</v>
      </c>
      <c r="V235" s="182">
        <f t="shared" si="143"/>
        <v>25528426.896353718</v>
      </c>
      <c r="W235" s="182">
        <f t="shared" si="143"/>
        <v>14174210.947299844</v>
      </c>
      <c r="Y235" s="182">
        <f t="shared" si="148"/>
        <v>67902161.938591674</v>
      </c>
      <c r="Z235" s="182">
        <f t="shared" si="144"/>
        <v>56555862.446687795</v>
      </c>
      <c r="AA235" s="182">
        <f t="shared" si="144"/>
        <v>25508146.576629717</v>
      </c>
      <c r="AB235" s="182">
        <f t="shared" si="144"/>
        <v>14161847.084725844</v>
      </c>
      <c r="AC235" s="101"/>
      <c r="AD235" s="182">
        <f t="shared" si="149"/>
        <v>67212085.918314666</v>
      </c>
      <c r="AE235" s="182">
        <f t="shared" si="145"/>
        <v>56083206.267423294</v>
      </c>
      <c r="AF235" s="182">
        <f t="shared" si="145"/>
        <v>24886300.081352718</v>
      </c>
      <c r="AG235" s="182">
        <f t="shared" si="145"/>
        <v>13757420.430461343</v>
      </c>
    </row>
    <row r="236" spans="1:33" ht="28.8" x14ac:dyDescent="0.3">
      <c r="M236" s="222" t="s">
        <v>901</v>
      </c>
      <c r="O236" s="182">
        <f t="shared" ref="O236:R238" si="151">O79*(O134+O138)</f>
        <v>74552999.599367917</v>
      </c>
      <c r="P236" s="182">
        <f t="shared" si="151"/>
        <v>61734280.756256908</v>
      </c>
      <c r="Q236" s="182">
        <f t="shared" si="151"/>
        <v>28213731.712157603</v>
      </c>
      <c r="R236" s="182">
        <f t="shared" si="151"/>
        <v>15395012.869046589</v>
      </c>
      <c r="T236" s="182">
        <f t="shared" si="147"/>
        <v>74526473.07478641</v>
      </c>
      <c r="U236" s="182">
        <f t="shared" si="143"/>
        <v>61715367.763169155</v>
      </c>
      <c r="V236" s="182">
        <f t="shared" si="143"/>
        <v>28189594.425076105</v>
      </c>
      <c r="W236" s="182">
        <f t="shared" si="143"/>
        <v>15378489.11345884</v>
      </c>
      <c r="Y236" s="182">
        <f t="shared" si="148"/>
        <v>74503708.455062419</v>
      </c>
      <c r="Z236" s="182">
        <f t="shared" si="144"/>
        <v>61700519.600595161</v>
      </c>
      <c r="AA236" s="182">
        <f t="shared" si="144"/>
        <v>28169314.105352104</v>
      </c>
      <c r="AB236" s="182">
        <f t="shared" si="144"/>
        <v>15366125.25088484</v>
      </c>
      <c r="AC236" s="101"/>
      <c r="AD236" s="182">
        <f t="shared" si="149"/>
        <v>73813632.434785411</v>
      </c>
      <c r="AE236" s="182">
        <f t="shared" si="145"/>
        <v>61227863.421330661</v>
      </c>
      <c r="AF236" s="182">
        <f t="shared" si="145"/>
        <v>27547467.610075105</v>
      </c>
      <c r="AG236" s="182">
        <f t="shared" si="145"/>
        <v>14961698.59662034</v>
      </c>
    </row>
    <row r="237" spans="1:33" x14ac:dyDescent="0.3">
      <c r="M237" s="222"/>
      <c r="O237" s="182">
        <f t="shared" si="151"/>
        <v>79301800.818850145</v>
      </c>
      <c r="P237" s="182">
        <f t="shared" si="151"/>
        <v>65371859.286026932</v>
      </c>
      <c r="Q237" s="182">
        <f t="shared" si="151"/>
        <v>30157517.38103928</v>
      </c>
      <c r="R237" s="182">
        <f t="shared" si="151"/>
        <v>16227575.848216072</v>
      </c>
      <c r="T237" s="182">
        <f t="shared" si="147"/>
        <v>79275274.294268638</v>
      </c>
      <c r="U237" s="182">
        <f t="shared" si="143"/>
        <v>65352946.292939179</v>
      </c>
      <c r="V237" s="182">
        <f t="shared" si="143"/>
        <v>30133380.093957782</v>
      </c>
      <c r="W237" s="182">
        <f t="shared" si="143"/>
        <v>16211052.092628323</v>
      </c>
      <c r="Y237" s="182">
        <f t="shared" si="148"/>
        <v>79252509.674544647</v>
      </c>
      <c r="Z237" s="182">
        <f t="shared" si="144"/>
        <v>65338098.130365185</v>
      </c>
      <c r="AA237" s="182">
        <f t="shared" si="144"/>
        <v>30113099.774233781</v>
      </c>
      <c r="AB237" s="182">
        <f t="shared" si="144"/>
        <v>16198688.230054323</v>
      </c>
      <c r="AC237" s="101"/>
      <c r="AD237" s="182">
        <f t="shared" si="149"/>
        <v>78562433.654267639</v>
      </c>
      <c r="AE237" s="182">
        <f t="shared" si="145"/>
        <v>64865441.951100685</v>
      </c>
      <c r="AF237" s="182">
        <f t="shared" si="145"/>
        <v>29491253.278956782</v>
      </c>
      <c r="AG237" s="182">
        <f t="shared" si="145"/>
        <v>15794261.575789822</v>
      </c>
    </row>
    <row r="238" spans="1:33" x14ac:dyDescent="0.3">
      <c r="M238" s="111"/>
      <c r="N238" s="8"/>
      <c r="O238" s="194">
        <f t="shared" si="151"/>
        <v>82300563.109974369</v>
      </c>
      <c r="P238" s="194">
        <f t="shared" si="151"/>
        <v>67550563.400769725</v>
      </c>
      <c r="Q238" s="194">
        <f t="shared" si="151"/>
        <v>31442548.742915671</v>
      </c>
      <c r="R238" s="194">
        <f t="shared" si="151"/>
        <v>16692549.033711022</v>
      </c>
      <c r="T238" s="194">
        <f t="shared" si="147"/>
        <v>82274036.585392863</v>
      </c>
      <c r="U238" s="194">
        <f t="shared" si="143"/>
        <v>67531650.407681972</v>
      </c>
      <c r="V238" s="194">
        <f t="shared" si="143"/>
        <v>31418411.455834173</v>
      </c>
      <c r="W238" s="194">
        <f t="shared" si="143"/>
        <v>16676025.278123273</v>
      </c>
      <c r="Y238" s="194">
        <f t="shared" si="148"/>
        <v>82251271.965668872</v>
      </c>
      <c r="Z238" s="194">
        <f t="shared" si="144"/>
        <v>67516802.245107979</v>
      </c>
      <c r="AA238" s="194">
        <f t="shared" si="144"/>
        <v>31398131.136110172</v>
      </c>
      <c r="AB238" s="194">
        <f t="shared" si="144"/>
        <v>16663661.415549273</v>
      </c>
      <c r="AC238" s="101"/>
      <c r="AD238" s="194">
        <f t="shared" si="149"/>
        <v>81561195.945391864</v>
      </c>
      <c r="AE238" s="194">
        <f t="shared" si="145"/>
        <v>67044146.065843478</v>
      </c>
      <c r="AF238" s="194">
        <f t="shared" si="145"/>
        <v>30776284.640833173</v>
      </c>
      <c r="AG238" s="194">
        <f t="shared" si="145"/>
        <v>16259234.761284772</v>
      </c>
    </row>
    <row r="239" spans="1:33" x14ac:dyDescent="0.3">
      <c r="M239" s="237"/>
      <c r="N239" s="207"/>
      <c r="O239" s="182">
        <f>O82*(O133+O137)</f>
        <v>1547726.4568914832</v>
      </c>
      <c r="P239" s="182">
        <f t="shared" ref="P239:R239" si="152">P82*(P133+P137)</f>
        <v>1288938.700516643</v>
      </c>
      <c r="Q239" s="195">
        <f t="shared" si="152"/>
        <v>582009.32921733812</v>
      </c>
      <c r="R239" s="195">
        <f t="shared" si="152"/>
        <v>323221.57284249802</v>
      </c>
      <c r="T239" s="182">
        <f t="shared" si="147"/>
        <v>1521199.9323099831</v>
      </c>
      <c r="U239" s="182">
        <f t="shared" si="143"/>
        <v>1270025.7074288931</v>
      </c>
      <c r="V239" s="195">
        <f t="shared" si="143"/>
        <v>557872.04213583807</v>
      </c>
      <c r="W239" s="195">
        <f t="shared" si="143"/>
        <v>306697.81725474802</v>
      </c>
      <c r="Y239" s="182">
        <f t="shared" si="148"/>
        <v>1498435.3125859832</v>
      </c>
      <c r="Z239" s="182">
        <f t="shared" si="144"/>
        <v>1255177.5448548929</v>
      </c>
      <c r="AA239" s="195">
        <f t="shared" si="144"/>
        <v>537591.72241183813</v>
      </c>
      <c r="AB239" s="195">
        <f t="shared" si="144"/>
        <v>294333.95468074799</v>
      </c>
      <c r="AC239" s="101"/>
      <c r="AD239" s="182">
        <f t="shared" si="149"/>
        <v>808359.29230898316</v>
      </c>
      <c r="AE239" s="182">
        <f t="shared" si="145"/>
        <v>782521.36559039296</v>
      </c>
      <c r="AF239" s="184">
        <f t="shared" si="145"/>
        <v>-84254.772865161882</v>
      </c>
      <c r="AG239" s="184">
        <f t="shared" si="145"/>
        <v>-110092.69958375196</v>
      </c>
    </row>
    <row r="240" spans="1:33" ht="28.8" x14ac:dyDescent="0.3">
      <c r="M240" s="222" t="s">
        <v>902</v>
      </c>
      <c r="O240" s="182">
        <f t="shared" ref="O240:R242" si="153">O83*(O134+O138)</f>
        <v>1698089.513697302</v>
      </c>
      <c r="P240" s="182">
        <f t="shared" si="153"/>
        <v>1406118.2695690459</v>
      </c>
      <c r="Q240" s="195">
        <f t="shared" si="153"/>
        <v>642622.59359300195</v>
      </c>
      <c r="R240" s="195">
        <f t="shared" si="153"/>
        <v>350651.34946474608</v>
      </c>
      <c r="T240" s="182">
        <f t="shared" si="147"/>
        <v>1671562.9891158019</v>
      </c>
      <c r="U240" s="182">
        <f t="shared" si="143"/>
        <v>1387205.2764812959</v>
      </c>
      <c r="V240" s="195">
        <f t="shared" si="143"/>
        <v>618485.3065115019</v>
      </c>
      <c r="W240" s="195">
        <f t="shared" si="143"/>
        <v>334127.59387699608</v>
      </c>
      <c r="Y240" s="182">
        <f t="shared" si="148"/>
        <v>1648798.369391802</v>
      </c>
      <c r="Z240" s="182">
        <f t="shared" si="144"/>
        <v>1372357.1139072957</v>
      </c>
      <c r="AA240" s="195">
        <f t="shared" si="144"/>
        <v>598204.98678750196</v>
      </c>
      <c r="AB240" s="195">
        <f t="shared" si="144"/>
        <v>321763.73130299605</v>
      </c>
      <c r="AC240" s="101"/>
      <c r="AD240" s="182">
        <f t="shared" si="149"/>
        <v>958722.34911480197</v>
      </c>
      <c r="AE240" s="182">
        <f t="shared" si="145"/>
        <v>899700.93464279582</v>
      </c>
      <c r="AF240" s="184">
        <f t="shared" si="145"/>
        <v>-23641.508489498054</v>
      </c>
      <c r="AG240" s="184">
        <f t="shared" si="145"/>
        <v>-82662.922961503908</v>
      </c>
    </row>
    <row r="241" spans="1:33" x14ac:dyDescent="0.3">
      <c r="M241" s="222"/>
      <c r="O241" s="182">
        <f t="shared" si="153"/>
        <v>1806252.6942100828</v>
      </c>
      <c r="P241" s="182">
        <f t="shared" si="153"/>
        <v>1488971.1928564585</v>
      </c>
      <c r="Q241" s="195">
        <f t="shared" si="153"/>
        <v>686896.09135889274</v>
      </c>
      <c r="R241" s="195">
        <f t="shared" si="153"/>
        <v>369614.59000526834</v>
      </c>
      <c r="T241" s="182">
        <f t="shared" si="147"/>
        <v>1779726.1696285827</v>
      </c>
      <c r="U241" s="182">
        <f t="shared" si="143"/>
        <v>1470058.1997687086</v>
      </c>
      <c r="V241" s="195">
        <f t="shared" si="143"/>
        <v>662758.80427739269</v>
      </c>
      <c r="W241" s="195">
        <f t="shared" si="143"/>
        <v>353090.83441751834</v>
      </c>
      <c r="Y241" s="182">
        <f t="shared" si="148"/>
        <v>1756961.5499045828</v>
      </c>
      <c r="Z241" s="182">
        <f t="shared" si="144"/>
        <v>1455210.0371947084</v>
      </c>
      <c r="AA241" s="195">
        <f t="shared" si="144"/>
        <v>642478.48455339274</v>
      </c>
      <c r="AB241" s="195">
        <f t="shared" si="144"/>
        <v>340726.97184351832</v>
      </c>
      <c r="AC241" s="101"/>
      <c r="AD241" s="182">
        <f t="shared" si="149"/>
        <v>1066885.5296275828</v>
      </c>
      <c r="AE241" s="182">
        <f t="shared" si="145"/>
        <v>982553.85793020844</v>
      </c>
      <c r="AF241" s="184">
        <f t="shared" si="145"/>
        <v>20631.989276392735</v>
      </c>
      <c r="AG241" s="184">
        <f t="shared" si="145"/>
        <v>-63699.68242098164</v>
      </c>
    </row>
    <row r="242" spans="1:33" x14ac:dyDescent="0.3">
      <c r="M242" s="111"/>
      <c r="N242" s="8"/>
      <c r="O242" s="194">
        <f t="shared" si="153"/>
        <v>1874555.3356596984</v>
      </c>
      <c r="P242" s="194">
        <f t="shared" si="153"/>
        <v>1538595.4149612021</v>
      </c>
      <c r="Q242" s="196">
        <f t="shared" si="153"/>
        <v>716165.17901600373</v>
      </c>
      <c r="R242" s="196">
        <f t="shared" si="153"/>
        <v>380205.25831750763</v>
      </c>
      <c r="T242" s="194">
        <f t="shared" si="147"/>
        <v>1848028.8110781983</v>
      </c>
      <c r="U242" s="194">
        <f t="shared" si="143"/>
        <v>1519682.4218734521</v>
      </c>
      <c r="V242" s="196">
        <f t="shared" si="143"/>
        <v>692027.89193450368</v>
      </c>
      <c r="W242" s="196">
        <f t="shared" si="143"/>
        <v>363681.50272975763</v>
      </c>
      <c r="Y242" s="194">
        <f t="shared" si="148"/>
        <v>1825264.1913541984</v>
      </c>
      <c r="Z242" s="194">
        <f t="shared" si="144"/>
        <v>1504834.259299452</v>
      </c>
      <c r="AA242" s="196">
        <f t="shared" si="144"/>
        <v>671747.57221050374</v>
      </c>
      <c r="AB242" s="196">
        <f t="shared" si="144"/>
        <v>351317.6401557576</v>
      </c>
      <c r="AC242" s="101"/>
      <c r="AD242" s="194">
        <f t="shared" si="149"/>
        <v>1135188.1710771983</v>
      </c>
      <c r="AE242" s="194">
        <f t="shared" si="145"/>
        <v>1032178.080034952</v>
      </c>
      <c r="AF242" s="197">
        <f t="shared" si="145"/>
        <v>49901.076933503733</v>
      </c>
      <c r="AG242" s="197">
        <f t="shared" si="145"/>
        <v>-53109.014108742354</v>
      </c>
    </row>
    <row r="243" spans="1:33" x14ac:dyDescent="0.3">
      <c r="M243" s="237"/>
      <c r="N243" s="207"/>
      <c r="O243" s="195">
        <f>O86*(O133+O137)</f>
        <v>507707.31751052354</v>
      </c>
      <c r="P243" s="195">
        <f t="shared" ref="P243:R243" si="154">P86*(P133+P137)</f>
        <v>422816.06491959561</v>
      </c>
      <c r="Q243" s="195">
        <f t="shared" si="154"/>
        <v>190919.00509118961</v>
      </c>
      <c r="R243" s="195">
        <f t="shared" si="154"/>
        <v>106027.75250026159</v>
      </c>
      <c r="T243" s="195">
        <f t="shared" si="147"/>
        <v>481180.79292902356</v>
      </c>
      <c r="U243" s="195">
        <f t="shared" si="143"/>
        <v>403903.07183184562</v>
      </c>
      <c r="V243" s="195">
        <f t="shared" si="143"/>
        <v>166781.71800968962</v>
      </c>
      <c r="W243" s="195">
        <f t="shared" si="143"/>
        <v>89503.996912511589</v>
      </c>
      <c r="Y243" s="195">
        <f t="shared" si="148"/>
        <v>458416.17320502352</v>
      </c>
      <c r="Z243" s="195">
        <f t="shared" si="144"/>
        <v>389054.9092578456</v>
      </c>
      <c r="AA243" s="195">
        <f t="shared" si="144"/>
        <v>146501.39828568962</v>
      </c>
      <c r="AB243" s="183">
        <f t="shared" si="144"/>
        <v>77140.134338511591</v>
      </c>
      <c r="AC243" s="101"/>
      <c r="AD243" s="184">
        <f t="shared" si="149"/>
        <v>-231659.84707197646</v>
      </c>
      <c r="AE243" s="184">
        <f t="shared" si="145"/>
        <v>-83601.270006654435</v>
      </c>
      <c r="AF243" s="184">
        <f t="shared" si="145"/>
        <v>-475345.09699131036</v>
      </c>
      <c r="AG243" s="184">
        <f t="shared" si="145"/>
        <v>-327286.5199259884</v>
      </c>
    </row>
    <row r="244" spans="1:33" ht="28.8" x14ac:dyDescent="0.3">
      <c r="M244" s="222" t="s">
        <v>903</v>
      </c>
      <c r="O244" s="195">
        <f t="shared" ref="O244:R246" si="155">O87*(O134+O138)</f>
        <v>557031.5529938984</v>
      </c>
      <c r="P244" s="195">
        <f t="shared" si="155"/>
        <v>461254.97924178315</v>
      </c>
      <c r="Q244" s="195">
        <f t="shared" si="155"/>
        <v>210802.23298633838</v>
      </c>
      <c r="R244" s="195">
        <f t="shared" si="155"/>
        <v>115025.6592342232</v>
      </c>
      <c r="T244" s="195">
        <f t="shared" si="147"/>
        <v>530505.02841239842</v>
      </c>
      <c r="U244" s="195">
        <f t="shared" si="143"/>
        <v>442341.98615403316</v>
      </c>
      <c r="V244" s="195">
        <f t="shared" si="143"/>
        <v>186664.94590483839</v>
      </c>
      <c r="W244" s="195">
        <f t="shared" si="143"/>
        <v>98501.903646473205</v>
      </c>
      <c r="Y244" s="195">
        <f t="shared" si="148"/>
        <v>507740.40868839843</v>
      </c>
      <c r="Z244" s="195">
        <f t="shared" si="144"/>
        <v>427493.82358003315</v>
      </c>
      <c r="AA244" s="195">
        <f t="shared" si="144"/>
        <v>166384.62618083839</v>
      </c>
      <c r="AB244" s="183">
        <f t="shared" si="144"/>
        <v>86138.041072473206</v>
      </c>
      <c r="AC244" s="101"/>
      <c r="AD244" s="184">
        <f t="shared" si="149"/>
        <v>-182335.61158860161</v>
      </c>
      <c r="AE244" s="184">
        <f t="shared" si="145"/>
        <v>-45162.355684466893</v>
      </c>
      <c r="AF244" s="184">
        <f t="shared" si="145"/>
        <v>-455461.86909616162</v>
      </c>
      <c r="AG244" s="184">
        <f t="shared" si="145"/>
        <v>-318288.61319202679</v>
      </c>
    </row>
    <row r="245" spans="1:33" x14ac:dyDescent="0.3">
      <c r="M245" s="222"/>
      <c r="O245" s="195">
        <f t="shared" si="155"/>
        <v>592512.78288890468</v>
      </c>
      <c r="P245" s="195">
        <f t="shared" si="155"/>
        <v>488433.57739965315</v>
      </c>
      <c r="Q245" s="195">
        <f t="shared" si="155"/>
        <v>225325.45747955682</v>
      </c>
      <c r="R245" s="195">
        <f t="shared" si="155"/>
        <v>121246.25199030507</v>
      </c>
      <c r="T245" s="195">
        <f t="shared" si="147"/>
        <v>565986.2583074047</v>
      </c>
      <c r="U245" s="195">
        <f t="shared" si="143"/>
        <v>469520.58431190316</v>
      </c>
      <c r="V245" s="195">
        <f t="shared" si="143"/>
        <v>201188.17039805683</v>
      </c>
      <c r="W245" s="195">
        <f t="shared" si="143"/>
        <v>104722.49640255507</v>
      </c>
      <c r="Y245" s="195">
        <f t="shared" si="148"/>
        <v>543221.63858340471</v>
      </c>
      <c r="Z245" s="195">
        <f t="shared" si="144"/>
        <v>454672.42173790315</v>
      </c>
      <c r="AA245" s="195">
        <f t="shared" si="144"/>
        <v>180907.85067405683</v>
      </c>
      <c r="AB245" s="183">
        <f t="shared" si="144"/>
        <v>92358.633828555074</v>
      </c>
      <c r="AC245" s="101"/>
      <c r="AD245" s="184">
        <f t="shared" si="149"/>
        <v>-146854.38169359532</v>
      </c>
      <c r="AE245" s="184">
        <f t="shared" si="145"/>
        <v>-17983.757526596892</v>
      </c>
      <c r="AF245" s="184">
        <f t="shared" si="145"/>
        <v>-440938.64460294321</v>
      </c>
      <c r="AG245" s="184">
        <f t="shared" si="145"/>
        <v>-312068.0204359449</v>
      </c>
    </row>
    <row r="246" spans="1:33" x14ac:dyDescent="0.3">
      <c r="M246" s="111"/>
      <c r="N246" s="8"/>
      <c r="O246" s="196">
        <f t="shared" si="155"/>
        <v>614918.38997461402</v>
      </c>
      <c r="P246" s="196">
        <f t="shared" si="155"/>
        <v>504712.02284210396</v>
      </c>
      <c r="Q246" s="196">
        <f t="shared" si="155"/>
        <v>234926.72126503082</v>
      </c>
      <c r="R246" s="196">
        <f t="shared" si="155"/>
        <v>124720.35413252081</v>
      </c>
      <c r="T246" s="196">
        <f t="shared" si="147"/>
        <v>588391.86539311404</v>
      </c>
      <c r="U246" s="196">
        <f t="shared" si="143"/>
        <v>485799.02975435398</v>
      </c>
      <c r="V246" s="196">
        <f t="shared" si="143"/>
        <v>210789.43418353083</v>
      </c>
      <c r="W246" s="196">
        <f t="shared" si="143"/>
        <v>108196.59854477081</v>
      </c>
      <c r="Y246" s="196">
        <f t="shared" si="148"/>
        <v>565627.24566911405</v>
      </c>
      <c r="Z246" s="196">
        <f t="shared" si="144"/>
        <v>470950.86718035396</v>
      </c>
      <c r="AA246" s="196">
        <f t="shared" si="144"/>
        <v>190509.11445953083</v>
      </c>
      <c r="AB246" s="193">
        <f t="shared" si="144"/>
        <v>95832.735970770809</v>
      </c>
      <c r="AC246" s="101"/>
      <c r="AD246" s="197">
        <f t="shared" si="149"/>
        <v>-124448.77460788598</v>
      </c>
      <c r="AE246" s="197">
        <f t="shared" si="145"/>
        <v>-1705.3120841460768</v>
      </c>
      <c r="AF246" s="197">
        <f t="shared" si="145"/>
        <v>-431337.38081746921</v>
      </c>
      <c r="AG246" s="197">
        <f t="shared" si="145"/>
        <v>-308593.91829372919</v>
      </c>
    </row>
    <row r="247" spans="1:33" x14ac:dyDescent="0.3">
      <c r="M247" s="237"/>
      <c r="N247" s="207"/>
      <c r="O247" s="183">
        <f>O90*(O133+O137)</f>
        <v>77054.825031341796</v>
      </c>
      <c r="P247" s="183">
        <f t="shared" ref="P247:R247" si="156">P90*(P133+P137)</f>
        <v>64170.8653374778</v>
      </c>
      <c r="Q247" s="183">
        <f t="shared" si="156"/>
        <v>28975.809536474801</v>
      </c>
      <c r="R247" s="183">
        <f t="shared" si="156"/>
        <v>16091.849842610802</v>
      </c>
      <c r="T247" s="183">
        <f t="shared" si="147"/>
        <v>50528.300449841794</v>
      </c>
      <c r="U247" s="183">
        <f t="shared" si="147"/>
        <v>45257.872249727799</v>
      </c>
      <c r="V247" s="183">
        <f t="shared" si="147"/>
        <v>4838.5224549748018</v>
      </c>
      <c r="W247" s="184">
        <f t="shared" si="147"/>
        <v>-431.90574513919637</v>
      </c>
      <c r="Y247" s="183">
        <f t="shared" si="148"/>
        <v>27763.680725841798</v>
      </c>
      <c r="Z247" s="183">
        <f t="shared" si="148"/>
        <v>30409.709675727798</v>
      </c>
      <c r="AA247" s="184">
        <f t="shared" si="148"/>
        <v>-15441.797269025199</v>
      </c>
      <c r="AB247" s="184">
        <f t="shared" si="148"/>
        <v>-12795.768319139199</v>
      </c>
      <c r="AC247" s="101"/>
      <c r="AD247" s="184">
        <f t="shared" si="149"/>
        <v>-662312.33955115825</v>
      </c>
      <c r="AE247" s="184">
        <f t="shared" si="149"/>
        <v>-442246.46958877222</v>
      </c>
      <c r="AF247" s="184">
        <f t="shared" si="149"/>
        <v>-637288.29254602524</v>
      </c>
      <c r="AG247" s="184">
        <f t="shared" si="149"/>
        <v>-417222.42258363916</v>
      </c>
    </row>
    <row r="248" spans="1:33" ht="28.8" x14ac:dyDescent="0.3">
      <c r="A248" s="145"/>
      <c r="B248" s="145"/>
      <c r="C248" s="145"/>
      <c r="D248" s="145"/>
      <c r="E248" s="145"/>
      <c r="F248" s="145"/>
      <c r="G248" s="145"/>
      <c r="H248" s="145"/>
      <c r="I248" s="145"/>
      <c r="M248" s="222" t="s">
        <v>904</v>
      </c>
      <c r="O248" s="183">
        <f t="shared" ref="O248:R250" si="157">O91*(O134+O138)</f>
        <v>84540.772552469192</v>
      </c>
      <c r="P248" s="183">
        <f t="shared" si="157"/>
        <v>70004.745833851601</v>
      </c>
      <c r="Q248" s="183">
        <f t="shared" si="157"/>
        <v>31993.490380689196</v>
      </c>
      <c r="R248" s="183">
        <f t="shared" si="157"/>
        <v>17457.463662071605</v>
      </c>
      <c r="T248" s="183">
        <f t="shared" si="147"/>
        <v>58014.247970969191</v>
      </c>
      <c r="U248" s="183">
        <f t="shared" si="147"/>
        <v>51091.7527461016</v>
      </c>
      <c r="V248" s="183">
        <f t="shared" si="147"/>
        <v>7856.2032991891974</v>
      </c>
      <c r="W248" s="184">
        <f t="shared" si="147"/>
        <v>933.70807432160655</v>
      </c>
      <c r="Y248" s="183">
        <f t="shared" si="148"/>
        <v>35249.628246969194</v>
      </c>
      <c r="Z248" s="183">
        <f t="shared" si="148"/>
        <v>36243.590172101598</v>
      </c>
      <c r="AA248" s="184">
        <f t="shared" si="148"/>
        <v>-12424.116424810803</v>
      </c>
      <c r="AB248" s="184">
        <f t="shared" si="148"/>
        <v>-11430.154499678396</v>
      </c>
      <c r="AC248" s="101"/>
      <c r="AD248" s="184">
        <f t="shared" si="149"/>
        <v>-654826.39203003084</v>
      </c>
      <c r="AE248" s="184">
        <f t="shared" si="149"/>
        <v>-436412.58909239841</v>
      </c>
      <c r="AF248" s="184">
        <f t="shared" si="149"/>
        <v>-634270.61170181085</v>
      </c>
      <c r="AG248" s="184">
        <f t="shared" si="149"/>
        <v>-415856.80876417836</v>
      </c>
    </row>
    <row r="249" spans="1:33" x14ac:dyDescent="0.3">
      <c r="A249" s="145"/>
      <c r="B249" s="145"/>
      <c r="C249" s="145"/>
      <c r="D249" s="145"/>
      <c r="E249" s="163"/>
      <c r="F249" s="181"/>
      <c r="G249" s="163"/>
      <c r="H249" s="145"/>
      <c r="I249" s="145"/>
      <c r="M249" s="222"/>
      <c r="O249" s="183">
        <f t="shared" si="157"/>
        <v>89925.764785518622</v>
      </c>
      <c r="P249" s="183">
        <f t="shared" si="157"/>
        <v>74129.646250730875</v>
      </c>
      <c r="Q249" s="183">
        <f t="shared" si="157"/>
        <v>34197.682606444636</v>
      </c>
      <c r="R249" s="183">
        <f t="shared" si="157"/>
        <v>18401.564071656867</v>
      </c>
      <c r="T249" s="183">
        <f t="shared" si="147"/>
        <v>63399.240204018621</v>
      </c>
      <c r="U249" s="183">
        <f t="shared" si="147"/>
        <v>55216.653162980874</v>
      </c>
      <c r="V249" s="183">
        <f t="shared" si="147"/>
        <v>10060.395524944637</v>
      </c>
      <c r="W249" s="184">
        <f t="shared" si="147"/>
        <v>1877.8084839068688</v>
      </c>
      <c r="Y249" s="183">
        <f t="shared" si="148"/>
        <v>40634.620480018624</v>
      </c>
      <c r="Z249" s="183">
        <f t="shared" si="148"/>
        <v>40368.490588980872</v>
      </c>
      <c r="AA249" s="184">
        <f t="shared" si="148"/>
        <v>-10219.924199055364</v>
      </c>
      <c r="AB249" s="184">
        <f t="shared" si="148"/>
        <v>-10486.054090093134</v>
      </c>
      <c r="AC249" s="101"/>
      <c r="AD249" s="184">
        <f t="shared" si="149"/>
        <v>-649441.39979698136</v>
      </c>
      <c r="AE249" s="184">
        <f t="shared" si="149"/>
        <v>-432287.6886755192</v>
      </c>
      <c r="AF249" s="184">
        <f t="shared" si="149"/>
        <v>-632066.41947605531</v>
      </c>
      <c r="AG249" s="184">
        <f t="shared" si="149"/>
        <v>-414912.70835459314</v>
      </c>
    </row>
    <row r="250" spans="1:33" x14ac:dyDescent="0.3">
      <c r="A250" s="146"/>
      <c r="B250" s="145"/>
      <c r="C250" s="145"/>
      <c r="D250" s="145"/>
      <c r="E250" s="356"/>
      <c r="F250" s="211"/>
      <c r="G250" s="211"/>
      <c r="H250" s="145"/>
      <c r="I250" s="145"/>
      <c r="M250" s="111"/>
      <c r="N250" s="8"/>
      <c r="O250" s="193">
        <f t="shared" si="157"/>
        <v>93326.267544028771</v>
      </c>
      <c r="P250" s="193">
        <f t="shared" si="157"/>
        <v>76600.228655374463</v>
      </c>
      <c r="Q250" s="193">
        <f t="shared" si="157"/>
        <v>35654.868027165154</v>
      </c>
      <c r="R250" s="193">
        <f t="shared" si="157"/>
        <v>18928.829138510853</v>
      </c>
      <c r="T250" s="193">
        <f t="shared" si="147"/>
        <v>66799.742962528777</v>
      </c>
      <c r="U250" s="193">
        <f t="shared" si="147"/>
        <v>57687.235567624462</v>
      </c>
      <c r="V250" s="193">
        <f t="shared" si="147"/>
        <v>11517.580945665155</v>
      </c>
      <c r="W250" s="197">
        <f t="shared" si="147"/>
        <v>2405.0735507608551</v>
      </c>
      <c r="Y250" s="193">
        <f t="shared" si="148"/>
        <v>44035.123238528773</v>
      </c>
      <c r="Z250" s="193">
        <f t="shared" si="148"/>
        <v>42839.072993624461</v>
      </c>
      <c r="AA250" s="197">
        <f t="shared" si="148"/>
        <v>-8762.7387783348458</v>
      </c>
      <c r="AB250" s="197">
        <f t="shared" si="148"/>
        <v>-9958.7890232391474</v>
      </c>
      <c r="AC250" s="101"/>
      <c r="AD250" s="197">
        <f t="shared" si="149"/>
        <v>-646040.89703847119</v>
      </c>
      <c r="AE250" s="197">
        <f t="shared" si="149"/>
        <v>-429817.10627087555</v>
      </c>
      <c r="AF250" s="197">
        <f t="shared" si="149"/>
        <v>-630609.23405533482</v>
      </c>
      <c r="AG250" s="197">
        <f t="shared" si="149"/>
        <v>-414385.44328773912</v>
      </c>
    </row>
    <row r="251" spans="1:33" x14ac:dyDescent="0.3">
      <c r="A251" s="146"/>
      <c r="B251" s="145"/>
      <c r="C251" s="145"/>
      <c r="D251" s="145"/>
      <c r="E251" s="356"/>
      <c r="F251" s="211"/>
      <c r="G251" s="211"/>
      <c r="H251" s="145"/>
      <c r="I251" s="145"/>
      <c r="M251" s="237"/>
      <c r="N251" s="207"/>
      <c r="O251" s="184">
        <f>O94*(O133+O137)</f>
        <v>441.99708430980002</v>
      </c>
      <c r="P251" s="184">
        <f t="shared" ref="P251:R251" si="158">P94*(P133+P137)</f>
        <v>368.09291780579997</v>
      </c>
      <c r="Q251" s="184">
        <f t="shared" si="158"/>
        <v>166.20923252280005</v>
      </c>
      <c r="R251" s="184">
        <f t="shared" si="158"/>
        <v>92.305066018799991</v>
      </c>
      <c r="T251" s="184">
        <f t="shared" si="147"/>
        <v>-26084.5274971902</v>
      </c>
      <c r="U251" s="184">
        <f t="shared" si="147"/>
        <v>-18544.900169944201</v>
      </c>
      <c r="V251" s="184">
        <f t="shared" si="147"/>
        <v>-23971.077848977198</v>
      </c>
      <c r="W251" s="184">
        <f t="shared" si="147"/>
        <v>-16431.4505217312</v>
      </c>
      <c r="Y251" s="184">
        <f t="shared" si="148"/>
        <v>-48849.1472211902</v>
      </c>
      <c r="Z251" s="184">
        <f t="shared" si="148"/>
        <v>-33393.062743944203</v>
      </c>
      <c r="AA251" s="184">
        <f t="shared" si="148"/>
        <v>-44251.397572977199</v>
      </c>
      <c r="AB251" s="184">
        <f t="shared" si="148"/>
        <v>-28795.313095731202</v>
      </c>
      <c r="AC251" s="101"/>
      <c r="AD251" s="184">
        <f t="shared" si="149"/>
        <v>-738925.16749819019</v>
      </c>
      <c r="AE251" s="184">
        <f t="shared" si="149"/>
        <v>-506049.24200844421</v>
      </c>
      <c r="AF251" s="184">
        <f t="shared" si="149"/>
        <v>-666097.89284997724</v>
      </c>
      <c r="AG251" s="184">
        <f t="shared" si="149"/>
        <v>-433221.96736023121</v>
      </c>
    </row>
    <row r="252" spans="1:33" x14ac:dyDescent="0.3">
      <c r="A252" s="145"/>
      <c r="B252" s="145"/>
      <c r="C252" s="145"/>
      <c r="D252" s="145"/>
      <c r="E252" s="356"/>
      <c r="F252" s="211"/>
      <c r="G252" s="211"/>
      <c r="H252" s="145"/>
      <c r="I252" s="145"/>
      <c r="M252" s="222" t="s">
        <v>825</v>
      </c>
      <c r="O252" s="184">
        <f t="shared" ref="O252:R254" si="159">O95*(O134+O138)</f>
        <v>484.93750986119994</v>
      </c>
      <c r="P252" s="184">
        <f t="shared" si="159"/>
        <v>401.55685946759996</v>
      </c>
      <c r="Q252" s="184">
        <f t="shared" si="159"/>
        <v>183.5190652812</v>
      </c>
      <c r="R252" s="184">
        <f t="shared" si="159"/>
        <v>100.13841488760001</v>
      </c>
      <c r="T252" s="184">
        <f t="shared" si="147"/>
        <v>-26041.587071638802</v>
      </c>
      <c r="U252" s="184">
        <f t="shared" si="147"/>
        <v>-18511.4362282824</v>
      </c>
      <c r="V252" s="184">
        <f t="shared" si="147"/>
        <v>-23953.768016218797</v>
      </c>
      <c r="W252" s="184">
        <f t="shared" si="147"/>
        <v>-16423.617172862399</v>
      </c>
      <c r="Y252" s="184">
        <f t="shared" si="148"/>
        <v>-48806.206795638798</v>
      </c>
      <c r="Z252" s="184">
        <f t="shared" si="148"/>
        <v>-33359.598802282402</v>
      </c>
      <c r="AA252" s="184">
        <f t="shared" si="148"/>
        <v>-44234.087740218798</v>
      </c>
      <c r="AB252" s="184">
        <f t="shared" si="148"/>
        <v>-28787.479746862402</v>
      </c>
      <c r="AC252" s="101"/>
      <c r="AD252" s="184">
        <f t="shared" si="149"/>
        <v>-738882.22707263881</v>
      </c>
      <c r="AE252" s="184">
        <f t="shared" si="149"/>
        <v>-506015.77806678246</v>
      </c>
      <c r="AF252" s="184">
        <f t="shared" si="149"/>
        <v>-666080.58301721886</v>
      </c>
      <c r="AG252" s="184">
        <f t="shared" si="149"/>
        <v>-433214.13401136239</v>
      </c>
    </row>
    <row r="253" spans="1:33" x14ac:dyDescent="0.3">
      <c r="A253" s="145"/>
      <c r="B253" s="145"/>
      <c r="C253" s="145"/>
      <c r="D253" s="145"/>
      <c r="E253" s="356"/>
      <c r="F253" s="211"/>
      <c r="G253" s="211"/>
      <c r="H253" s="145"/>
      <c r="I253" s="145"/>
      <c r="M253" s="221" t="s">
        <v>900</v>
      </c>
      <c r="O253" s="184">
        <f t="shared" si="159"/>
        <v>515.8265666473344</v>
      </c>
      <c r="P253" s="184">
        <f t="shared" si="159"/>
        <v>425.21785612273925</v>
      </c>
      <c r="Q253" s="184">
        <f t="shared" si="159"/>
        <v>196.16261533333446</v>
      </c>
      <c r="R253" s="184">
        <f t="shared" si="159"/>
        <v>105.55390480873918</v>
      </c>
      <c r="T253" s="184">
        <f t="shared" si="147"/>
        <v>-26010.698014852667</v>
      </c>
      <c r="U253" s="184">
        <f t="shared" si="147"/>
        <v>-18487.77523162726</v>
      </c>
      <c r="V253" s="184">
        <f t="shared" si="147"/>
        <v>-23941.124466166664</v>
      </c>
      <c r="W253" s="184">
        <f t="shared" si="147"/>
        <v>-16418.201682941261</v>
      </c>
      <c r="Y253" s="184">
        <f t="shared" si="148"/>
        <v>-48775.317738852667</v>
      </c>
      <c r="Z253" s="184">
        <f t="shared" si="148"/>
        <v>-33335.937805627262</v>
      </c>
      <c r="AA253" s="184">
        <f t="shared" si="148"/>
        <v>-44221.444190166665</v>
      </c>
      <c r="AB253" s="184">
        <f t="shared" si="148"/>
        <v>-28782.064256941263</v>
      </c>
      <c r="AC253" s="101"/>
      <c r="AD253" s="184">
        <f t="shared" si="149"/>
        <v>-738851.33801585261</v>
      </c>
      <c r="AE253" s="184">
        <f t="shared" si="149"/>
        <v>-505992.11707012728</v>
      </c>
      <c r="AF253" s="184">
        <f t="shared" si="149"/>
        <v>-666067.93946716667</v>
      </c>
      <c r="AG253" s="184">
        <f t="shared" si="149"/>
        <v>-433208.71852144122</v>
      </c>
    </row>
    <row r="254" spans="1:33" x14ac:dyDescent="0.3">
      <c r="A254" s="145"/>
      <c r="B254" s="145"/>
      <c r="C254" s="145"/>
      <c r="D254" s="145"/>
      <c r="E254" s="356"/>
      <c r="F254" s="211"/>
      <c r="G254" s="211"/>
      <c r="H254" s="145"/>
      <c r="I254" s="145"/>
      <c r="M254" s="8"/>
      <c r="N254" s="8"/>
      <c r="O254" s="184">
        <f t="shared" si="159"/>
        <v>535.33231860819558</v>
      </c>
      <c r="P254" s="184">
        <f t="shared" si="159"/>
        <v>439.38945691419383</v>
      </c>
      <c r="Q254" s="184">
        <f t="shared" si="159"/>
        <v>204.52123151337568</v>
      </c>
      <c r="R254" s="184">
        <f t="shared" si="159"/>
        <v>108.5783698193739</v>
      </c>
      <c r="T254" s="197">
        <f t="shared" si="147"/>
        <v>-25991.192262891807</v>
      </c>
      <c r="U254" s="197">
        <f t="shared" si="147"/>
        <v>-18473.603630835809</v>
      </c>
      <c r="V254" s="197">
        <f t="shared" si="147"/>
        <v>-23932.765849986623</v>
      </c>
      <c r="W254" s="197">
        <f t="shared" si="147"/>
        <v>-16415.177217930624</v>
      </c>
      <c r="Y254" s="184">
        <f t="shared" si="148"/>
        <v>-48755.8119868918</v>
      </c>
      <c r="Z254" s="184">
        <f t="shared" si="148"/>
        <v>-33321.766204835811</v>
      </c>
      <c r="AA254" s="184">
        <f t="shared" si="148"/>
        <v>-44213.085573986624</v>
      </c>
      <c r="AB254" s="184">
        <f t="shared" si="148"/>
        <v>-28779.039791930627</v>
      </c>
      <c r="AC254" s="101"/>
      <c r="AD254" s="184">
        <f t="shared" si="149"/>
        <v>-738831.83226389182</v>
      </c>
      <c r="AE254" s="184">
        <f t="shared" si="149"/>
        <v>-505977.94546933583</v>
      </c>
      <c r="AF254" s="184">
        <f t="shared" si="149"/>
        <v>-666059.58085098665</v>
      </c>
      <c r="AG254" s="184">
        <f t="shared" si="149"/>
        <v>-433205.6940564306</v>
      </c>
    </row>
    <row r="255" spans="1:33" x14ac:dyDescent="0.3">
      <c r="A255" s="145"/>
      <c r="B255" s="145"/>
      <c r="C255" s="145"/>
      <c r="D255" s="145"/>
      <c r="E255" s="145"/>
      <c r="F255" s="211"/>
      <c r="G255" s="211"/>
      <c r="H255" s="145"/>
      <c r="I255" s="145"/>
      <c r="O255" s="101"/>
    </row>
    <row r="256" spans="1:33" x14ac:dyDescent="0.3">
      <c r="A256" s="146"/>
      <c r="B256" s="145"/>
      <c r="C256" s="145"/>
      <c r="D256" s="145"/>
      <c r="E256" s="356"/>
      <c r="F256" s="211"/>
      <c r="G256" s="211"/>
      <c r="H256" s="145"/>
      <c r="I256" s="145"/>
    </row>
    <row r="257" spans="1:9" x14ac:dyDescent="0.3">
      <c r="A257" s="145"/>
      <c r="B257" s="145"/>
      <c r="C257" s="145"/>
      <c r="D257" s="145"/>
      <c r="E257" s="356"/>
      <c r="F257" s="211"/>
      <c r="G257" s="211"/>
      <c r="H257" s="145"/>
      <c r="I257" s="145"/>
    </row>
    <row r="258" spans="1:9" x14ac:dyDescent="0.3">
      <c r="A258" s="145"/>
      <c r="B258" s="145"/>
      <c r="C258" s="145"/>
      <c r="D258" s="145"/>
      <c r="E258" s="356"/>
      <c r="F258" s="211"/>
      <c r="G258" s="211"/>
      <c r="H258" s="145"/>
      <c r="I258" s="145"/>
    </row>
    <row r="259" spans="1:9" x14ac:dyDescent="0.3">
      <c r="A259" s="145"/>
      <c r="B259" s="145"/>
      <c r="C259" s="145"/>
      <c r="D259" s="145"/>
      <c r="E259" s="356"/>
      <c r="F259" s="211"/>
      <c r="G259" s="211"/>
      <c r="H259" s="145"/>
      <c r="I259" s="145"/>
    </row>
    <row r="260" spans="1:9" x14ac:dyDescent="0.3">
      <c r="A260" s="145"/>
      <c r="B260" s="145"/>
      <c r="C260" s="145"/>
      <c r="D260" s="145"/>
      <c r="E260" s="145"/>
      <c r="F260" s="211"/>
      <c r="G260" s="211"/>
      <c r="H260" s="145"/>
      <c r="I260" s="145"/>
    </row>
    <row r="261" spans="1:9" x14ac:dyDescent="0.3">
      <c r="A261" s="146"/>
      <c r="B261" s="145"/>
      <c r="C261" s="145"/>
      <c r="D261" s="145"/>
      <c r="E261" s="356"/>
      <c r="F261" s="211"/>
      <c r="G261" s="211"/>
      <c r="H261" s="145"/>
      <c r="I261" s="145"/>
    </row>
    <row r="262" spans="1:9" x14ac:dyDescent="0.3">
      <c r="A262" s="145"/>
      <c r="B262" s="145"/>
      <c r="C262" s="145"/>
      <c r="D262" s="145"/>
      <c r="E262" s="356"/>
      <c r="F262" s="211"/>
      <c r="G262" s="211"/>
      <c r="H262" s="145"/>
      <c r="I262" s="145"/>
    </row>
    <row r="263" spans="1:9" x14ac:dyDescent="0.3">
      <c r="A263" s="145"/>
      <c r="B263" s="145"/>
      <c r="C263" s="145"/>
      <c r="D263" s="145"/>
      <c r="E263" s="356"/>
      <c r="F263" s="211"/>
      <c r="G263" s="211"/>
      <c r="H263" s="145"/>
      <c r="I263" s="145"/>
    </row>
    <row r="264" spans="1:9" x14ac:dyDescent="0.3">
      <c r="A264" s="145"/>
      <c r="B264" s="145"/>
      <c r="C264" s="145"/>
      <c r="D264" s="145"/>
      <c r="E264" s="356"/>
      <c r="F264" s="211"/>
      <c r="G264" s="211"/>
      <c r="H264" s="145"/>
      <c r="I264" s="145"/>
    </row>
    <row r="265" spans="1:9" x14ac:dyDescent="0.3">
      <c r="A265" s="145"/>
      <c r="B265" s="145"/>
      <c r="C265" s="145"/>
      <c r="D265" s="145"/>
      <c r="E265" s="145"/>
      <c r="F265" s="145"/>
      <c r="G265" s="145"/>
      <c r="H265" s="145"/>
      <c r="I265" s="145"/>
    </row>
    <row r="266" spans="1:9" x14ac:dyDescent="0.3">
      <c r="A266" s="145"/>
      <c r="B266" s="145"/>
      <c r="C266" s="145"/>
      <c r="D266" s="145"/>
      <c r="E266" s="145"/>
      <c r="F266" s="145"/>
      <c r="G266" s="145"/>
      <c r="H266" s="145"/>
      <c r="I266" s="145"/>
    </row>
    <row r="267" spans="1:9" x14ac:dyDescent="0.3">
      <c r="A267" s="145"/>
      <c r="B267" s="145"/>
      <c r="C267" s="145"/>
      <c r="D267" s="145"/>
      <c r="E267" s="145"/>
      <c r="F267" s="145"/>
      <c r="G267" s="145"/>
      <c r="H267" s="145"/>
      <c r="I267" s="145"/>
    </row>
    <row r="268" spans="1:9" s="222" customFormat="1" x14ac:dyDescent="0.3">
      <c r="A268" s="79"/>
      <c r="B268" s="79"/>
      <c r="C268" s="79"/>
      <c r="D268" s="79"/>
      <c r="E268" s="181"/>
      <c r="F268" s="181"/>
      <c r="G268" s="181"/>
      <c r="H268" s="181"/>
      <c r="I268" s="181"/>
    </row>
    <row r="269" spans="1:9" x14ac:dyDescent="0.3">
      <c r="A269" s="146"/>
      <c r="B269" s="145"/>
      <c r="C269" s="145"/>
      <c r="D269" s="145"/>
      <c r="E269" s="356"/>
      <c r="F269" s="357"/>
      <c r="G269" s="358"/>
      <c r="H269" s="358"/>
      <c r="I269" s="359"/>
    </row>
    <row r="270" spans="1:9" x14ac:dyDescent="0.3">
      <c r="A270" s="145"/>
      <c r="B270" s="145"/>
      <c r="C270" s="145"/>
      <c r="D270" s="145"/>
      <c r="E270" s="356"/>
      <c r="F270" s="357"/>
      <c r="G270" s="358"/>
      <c r="H270" s="358"/>
      <c r="I270" s="359"/>
    </row>
    <row r="271" spans="1:9" x14ac:dyDescent="0.3">
      <c r="A271" s="145"/>
      <c r="B271" s="145"/>
      <c r="C271" s="145"/>
      <c r="D271" s="145"/>
      <c r="E271" s="356"/>
      <c r="F271" s="357"/>
      <c r="G271" s="358"/>
      <c r="H271" s="358"/>
      <c r="I271" s="359"/>
    </row>
    <row r="272" spans="1:9" x14ac:dyDescent="0.3">
      <c r="A272" s="145"/>
      <c r="B272" s="145"/>
      <c r="C272" s="145"/>
      <c r="D272" s="145"/>
      <c r="E272" s="356"/>
      <c r="F272" s="357"/>
      <c r="G272" s="358"/>
      <c r="H272" s="358"/>
      <c r="I272" s="359"/>
    </row>
    <row r="273" spans="1:9" x14ac:dyDescent="0.3">
      <c r="A273" s="145"/>
      <c r="B273" s="145"/>
      <c r="C273" s="145"/>
      <c r="D273" s="145"/>
      <c r="E273" s="145"/>
      <c r="F273" s="360"/>
      <c r="G273" s="145"/>
      <c r="H273" s="145"/>
      <c r="I273" s="145"/>
    </row>
    <row r="274" spans="1:9" x14ac:dyDescent="0.3">
      <c r="A274" s="146"/>
      <c r="B274" s="145"/>
      <c r="C274" s="145"/>
      <c r="D274" s="145"/>
      <c r="E274" s="356"/>
      <c r="F274" s="357"/>
      <c r="G274" s="358"/>
      <c r="H274" s="358"/>
      <c r="I274" s="359"/>
    </row>
    <row r="275" spans="1:9" x14ac:dyDescent="0.3">
      <c r="A275" s="145"/>
      <c r="B275" s="145"/>
      <c r="C275" s="145"/>
      <c r="D275" s="145"/>
      <c r="E275" s="356"/>
      <c r="F275" s="357"/>
      <c r="G275" s="358"/>
      <c r="H275" s="358"/>
      <c r="I275" s="359"/>
    </row>
    <row r="276" spans="1:9" x14ac:dyDescent="0.3">
      <c r="A276" s="145"/>
      <c r="B276" s="145"/>
      <c r="C276" s="145"/>
      <c r="D276" s="145"/>
      <c r="E276" s="356"/>
      <c r="F276" s="357"/>
      <c r="G276" s="358"/>
      <c r="H276" s="358"/>
      <c r="I276" s="359"/>
    </row>
    <row r="277" spans="1:9" x14ac:dyDescent="0.3">
      <c r="A277" s="145"/>
      <c r="B277" s="145"/>
      <c r="C277" s="145"/>
      <c r="D277" s="145"/>
      <c r="E277" s="356"/>
      <c r="F277" s="357"/>
      <c r="G277" s="358"/>
      <c r="H277" s="358"/>
      <c r="I277" s="359"/>
    </row>
    <row r="278" spans="1:9" x14ac:dyDescent="0.3">
      <c r="A278" s="145"/>
      <c r="B278" s="145"/>
      <c r="C278" s="145"/>
      <c r="D278" s="145"/>
      <c r="E278" s="145"/>
      <c r="F278" s="360"/>
      <c r="G278" s="145"/>
      <c r="H278" s="145"/>
      <c r="I278" s="145"/>
    </row>
    <row r="279" spans="1:9" x14ac:dyDescent="0.3">
      <c r="A279" s="146"/>
      <c r="B279" s="145"/>
      <c r="C279" s="145"/>
      <c r="D279" s="145"/>
      <c r="E279" s="356"/>
      <c r="F279" s="357"/>
      <c r="G279" s="358"/>
      <c r="H279" s="358"/>
      <c r="I279" s="359"/>
    </row>
    <row r="280" spans="1:9" x14ac:dyDescent="0.3">
      <c r="A280" s="145"/>
      <c r="B280" s="145"/>
      <c r="C280" s="145"/>
      <c r="D280" s="145"/>
      <c r="E280" s="356"/>
      <c r="F280" s="357"/>
      <c r="G280" s="358"/>
      <c r="H280" s="358"/>
      <c r="I280" s="359"/>
    </row>
    <row r="281" spans="1:9" x14ac:dyDescent="0.3">
      <c r="A281" s="145"/>
      <c r="B281" s="145"/>
      <c r="C281" s="145"/>
      <c r="D281" s="145"/>
      <c r="E281" s="356"/>
      <c r="F281" s="357"/>
      <c r="G281" s="358"/>
      <c r="H281" s="358"/>
      <c r="I281" s="359"/>
    </row>
    <row r="282" spans="1:9" x14ac:dyDescent="0.3">
      <c r="A282" s="145"/>
      <c r="B282" s="145"/>
      <c r="C282" s="145"/>
      <c r="D282" s="145"/>
      <c r="E282" s="356"/>
      <c r="F282" s="357"/>
      <c r="G282" s="358"/>
      <c r="H282" s="358"/>
      <c r="I282" s="359"/>
    </row>
    <row r="283" spans="1:9" x14ac:dyDescent="0.3">
      <c r="A283" s="145"/>
      <c r="B283" s="145"/>
      <c r="C283" s="145"/>
      <c r="D283" s="145"/>
      <c r="E283" s="145"/>
      <c r="F283" s="145"/>
      <c r="G283" s="145"/>
      <c r="H283" s="145"/>
      <c r="I283" s="145"/>
    </row>
    <row r="284" spans="1:9" x14ac:dyDescent="0.3">
      <c r="A284" s="145"/>
      <c r="B284" s="145"/>
      <c r="C284" s="145"/>
      <c r="D284" s="145"/>
      <c r="E284" s="145"/>
      <c r="F284" s="145"/>
      <c r="G284" s="145"/>
      <c r="H284" s="145"/>
      <c r="I284" s="145"/>
    </row>
    <row r="285" spans="1:9" x14ac:dyDescent="0.3">
      <c r="A285" s="145"/>
      <c r="B285" s="145"/>
      <c r="C285" s="145"/>
      <c r="D285" s="145"/>
      <c r="E285" s="145"/>
      <c r="F285" s="145"/>
      <c r="G285" s="145"/>
      <c r="H285" s="145"/>
      <c r="I285" s="145"/>
    </row>
    <row r="286" spans="1:9" x14ac:dyDescent="0.3">
      <c r="A286" s="79"/>
      <c r="B286" s="79"/>
      <c r="C286" s="79"/>
      <c r="D286" s="79"/>
      <c r="E286" s="181"/>
      <c r="F286" s="181"/>
      <c r="G286" s="181"/>
      <c r="H286" s="181"/>
      <c r="I286" s="181"/>
    </row>
    <row r="287" spans="1:9" x14ac:dyDescent="0.3">
      <c r="A287" s="146"/>
      <c r="B287" s="145"/>
      <c r="C287" s="145"/>
      <c r="D287" s="145"/>
      <c r="E287" s="356"/>
      <c r="F287" s="357"/>
      <c r="G287" s="358"/>
      <c r="H287" s="358"/>
      <c r="I287" s="359"/>
    </row>
    <row r="288" spans="1:9" x14ac:dyDescent="0.3">
      <c r="A288" s="145"/>
      <c r="B288" s="145"/>
      <c r="C288" s="145"/>
      <c r="D288" s="145"/>
      <c r="E288" s="356"/>
      <c r="F288" s="357"/>
      <c r="G288" s="358"/>
      <c r="H288" s="358"/>
      <c r="I288" s="359"/>
    </row>
    <row r="289" spans="1:9" x14ac:dyDescent="0.3">
      <c r="A289" s="145"/>
      <c r="B289" s="145"/>
      <c r="C289" s="145"/>
      <c r="D289" s="145"/>
      <c r="E289" s="356"/>
      <c r="F289" s="357"/>
      <c r="G289" s="358"/>
      <c r="H289" s="358"/>
      <c r="I289" s="359"/>
    </row>
    <row r="290" spans="1:9" x14ac:dyDescent="0.3">
      <c r="A290" s="145"/>
      <c r="B290" s="145"/>
      <c r="C290" s="145"/>
      <c r="D290" s="145"/>
      <c r="E290" s="356"/>
      <c r="F290" s="357"/>
      <c r="G290" s="358"/>
      <c r="H290" s="358"/>
      <c r="I290" s="359"/>
    </row>
    <row r="291" spans="1:9" x14ac:dyDescent="0.3">
      <c r="A291" s="145"/>
      <c r="B291" s="145"/>
      <c r="C291" s="145"/>
      <c r="D291" s="145"/>
      <c r="E291" s="145"/>
      <c r="F291" s="360"/>
      <c r="G291" s="145"/>
      <c r="H291" s="145"/>
      <c r="I291" s="145"/>
    </row>
    <row r="292" spans="1:9" x14ac:dyDescent="0.3">
      <c r="A292" s="146"/>
      <c r="B292" s="145"/>
      <c r="C292" s="145"/>
      <c r="D292" s="145"/>
      <c r="E292" s="356"/>
      <c r="F292" s="357"/>
      <c r="G292" s="358"/>
      <c r="H292" s="358"/>
      <c r="I292" s="359"/>
    </row>
    <row r="293" spans="1:9" x14ac:dyDescent="0.3">
      <c r="A293" s="145"/>
      <c r="B293" s="145"/>
      <c r="C293" s="145"/>
      <c r="D293" s="145"/>
      <c r="E293" s="356"/>
      <c r="F293" s="357"/>
      <c r="G293" s="358"/>
      <c r="H293" s="358"/>
      <c r="I293" s="359"/>
    </row>
    <row r="294" spans="1:9" x14ac:dyDescent="0.3">
      <c r="A294" s="145"/>
      <c r="B294" s="145"/>
      <c r="C294" s="145"/>
      <c r="D294" s="145"/>
      <c r="E294" s="356"/>
      <c r="F294" s="357"/>
      <c r="G294" s="358"/>
      <c r="H294" s="358"/>
      <c r="I294" s="359"/>
    </row>
    <row r="295" spans="1:9" x14ac:dyDescent="0.3">
      <c r="A295" s="145"/>
      <c r="B295" s="145"/>
      <c r="C295" s="145"/>
      <c r="D295" s="145"/>
      <c r="E295" s="356"/>
      <c r="F295" s="357"/>
      <c r="G295" s="358"/>
      <c r="H295" s="358"/>
      <c r="I295" s="359"/>
    </row>
    <row r="296" spans="1:9" x14ac:dyDescent="0.3">
      <c r="A296" s="145"/>
      <c r="B296" s="145"/>
      <c r="C296" s="145"/>
      <c r="D296" s="145"/>
      <c r="E296" s="145"/>
      <c r="F296" s="360"/>
      <c r="G296" s="145"/>
      <c r="H296" s="145"/>
      <c r="I296" s="145"/>
    </row>
    <row r="297" spans="1:9" x14ac:dyDescent="0.3">
      <c r="A297" s="146"/>
      <c r="B297" s="145"/>
      <c r="C297" s="145"/>
      <c r="D297" s="145"/>
      <c r="E297" s="356"/>
      <c r="F297" s="357"/>
      <c r="G297" s="358"/>
      <c r="H297" s="358"/>
      <c r="I297" s="359"/>
    </row>
    <row r="298" spans="1:9" x14ac:dyDescent="0.3">
      <c r="A298" s="145"/>
      <c r="B298" s="145"/>
      <c r="C298" s="145"/>
      <c r="D298" s="145"/>
      <c r="E298" s="356"/>
      <c r="F298" s="357"/>
      <c r="G298" s="358"/>
      <c r="H298" s="358"/>
      <c r="I298" s="359"/>
    </row>
    <row r="299" spans="1:9" x14ac:dyDescent="0.3">
      <c r="A299" s="145"/>
      <c r="B299" s="145"/>
      <c r="C299" s="145"/>
      <c r="D299" s="145"/>
      <c r="E299" s="356"/>
      <c r="F299" s="357"/>
      <c r="G299" s="358"/>
      <c r="H299" s="358"/>
      <c r="I299" s="359"/>
    </row>
    <row r="300" spans="1:9" x14ac:dyDescent="0.3">
      <c r="A300" s="145"/>
      <c r="B300" s="145"/>
      <c r="C300" s="145"/>
      <c r="D300" s="145"/>
      <c r="E300" s="356"/>
      <c r="F300" s="357"/>
      <c r="G300" s="358"/>
      <c r="H300" s="358"/>
      <c r="I300" s="359"/>
    </row>
  </sheetData>
  <mergeCells count="3">
    <mergeCell ref="E71:H71"/>
    <mergeCell ref="O72:R72"/>
    <mergeCell ref="O106:R10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R79"/>
  <sheetViews>
    <sheetView topLeftCell="A37" workbookViewId="0">
      <selection activeCell="A48" sqref="A48:A49"/>
    </sheetView>
  </sheetViews>
  <sheetFormatPr defaultRowHeight="14.4" x14ac:dyDescent="0.3"/>
  <cols>
    <col min="1" max="1" width="17.77734375" customWidth="1"/>
    <col min="13" max="13" width="11.109375" customWidth="1"/>
    <col min="15" max="15" width="10.33203125" customWidth="1"/>
    <col min="18" max="18" width="12" bestFit="1" customWidth="1"/>
  </cols>
  <sheetData>
    <row r="2" spans="1:18" x14ac:dyDescent="0.3">
      <c r="A2" t="s">
        <v>724</v>
      </c>
    </row>
    <row r="5" spans="1:18" x14ac:dyDescent="0.3">
      <c r="A5" t="s">
        <v>0</v>
      </c>
    </row>
    <row r="7" spans="1:18" x14ac:dyDescent="0.3">
      <c r="A7" t="s">
        <v>1</v>
      </c>
    </row>
    <row r="8" spans="1:18" x14ac:dyDescent="0.3">
      <c r="A8" t="s">
        <v>2</v>
      </c>
    </row>
    <row r="9" spans="1:18" x14ac:dyDescent="0.3">
      <c r="A9" t="s">
        <v>3</v>
      </c>
    </row>
    <row r="11" spans="1:18" x14ac:dyDescent="0.3">
      <c r="B11" t="s">
        <v>11</v>
      </c>
    </row>
    <row r="12" spans="1:18" x14ac:dyDescent="0.3">
      <c r="A12" t="s">
        <v>12</v>
      </c>
      <c r="B12" t="s">
        <v>4</v>
      </c>
      <c r="C12" t="s">
        <v>5</v>
      </c>
      <c r="D12" t="s">
        <v>6</v>
      </c>
      <c r="F12" t="s">
        <v>7</v>
      </c>
      <c r="G12" t="s">
        <v>8</v>
      </c>
      <c r="H12" t="s">
        <v>9</v>
      </c>
      <c r="I12" t="s">
        <v>10</v>
      </c>
      <c r="J12" t="s">
        <v>20</v>
      </c>
    </row>
    <row r="13" spans="1:18" x14ac:dyDescent="0.3">
      <c r="A13" t="s">
        <v>13</v>
      </c>
      <c r="B13">
        <v>1</v>
      </c>
      <c r="C13">
        <v>0.59299999999999997</v>
      </c>
      <c r="D13">
        <v>0.26600000000000001</v>
      </c>
      <c r="F13">
        <v>0.105</v>
      </c>
      <c r="G13">
        <v>4.7E-2</v>
      </c>
      <c r="H13">
        <v>3.0000000000000001E-3</v>
      </c>
      <c r="I13">
        <v>1.4999999999999999E-4</v>
      </c>
    </row>
    <row r="14" spans="1:18" x14ac:dyDescent="0.3">
      <c r="A14">
        <v>2012</v>
      </c>
      <c r="B14" s="1">
        <v>9.1</v>
      </c>
      <c r="C14">
        <v>0.59</v>
      </c>
      <c r="D14">
        <v>0.26</v>
      </c>
      <c r="F14">
        <v>0.104</v>
      </c>
      <c r="G14">
        <v>4.5999999999999999E-2</v>
      </c>
      <c r="H14">
        <v>3.0000000000000001E-3</v>
      </c>
      <c r="I14">
        <v>1.4999999999999999E-4</v>
      </c>
      <c r="R14" s="178"/>
    </row>
    <row r="15" spans="1:18" x14ac:dyDescent="0.3">
      <c r="A15">
        <v>2013</v>
      </c>
      <c r="B15" s="1">
        <f>B14*1.0107</f>
        <v>9.1973699999999994</v>
      </c>
    </row>
    <row r="16" spans="1:18" x14ac:dyDescent="0.3">
      <c r="A16">
        <v>2014</v>
      </c>
      <c r="B16" s="1">
        <f t="shared" ref="B16:B22" si="0">B15*1.0107</f>
        <v>9.2957818589999981</v>
      </c>
    </row>
    <row r="17" spans="1:12" x14ac:dyDescent="0.3">
      <c r="A17">
        <v>2015</v>
      </c>
      <c r="B17" s="1">
        <f t="shared" si="0"/>
        <v>9.3952467248912974</v>
      </c>
    </row>
    <row r="18" spans="1:12" x14ac:dyDescent="0.3">
      <c r="A18">
        <v>2016</v>
      </c>
      <c r="B18" s="1">
        <f t="shared" si="0"/>
        <v>9.4957758648476336</v>
      </c>
    </row>
    <row r="19" spans="1:12" x14ac:dyDescent="0.3">
      <c r="A19">
        <v>2017</v>
      </c>
      <c r="B19" s="1">
        <f t="shared" si="0"/>
        <v>9.5973806666015022</v>
      </c>
      <c r="C19" s="1">
        <f>$B$19*C13</f>
        <v>5.6912467352946905</v>
      </c>
      <c r="D19" s="1">
        <f t="shared" ref="D19:I19" si="1">$B$19*D13</f>
        <v>2.5529032573159998</v>
      </c>
      <c r="E19" s="1"/>
      <c r="F19" s="1">
        <f t="shared" si="1"/>
        <v>1.0077249699931576</v>
      </c>
      <c r="G19" s="1">
        <f t="shared" si="1"/>
        <v>0.45107689133027062</v>
      </c>
      <c r="H19" s="1">
        <f t="shared" si="1"/>
        <v>2.8792141999804507E-2</v>
      </c>
      <c r="I19" s="6">
        <f t="shared" si="1"/>
        <v>1.4396070999902252E-3</v>
      </c>
    </row>
    <row r="20" spans="1:12" x14ac:dyDescent="0.3">
      <c r="A20">
        <v>2018</v>
      </c>
      <c r="B20" s="1">
        <f t="shared" si="0"/>
        <v>9.7000726397341381</v>
      </c>
    </row>
    <row r="21" spans="1:12" s="178" customFormat="1" x14ac:dyDescent="0.3">
      <c r="A21" s="178">
        <v>2019</v>
      </c>
      <c r="B21" s="1">
        <f t="shared" si="0"/>
        <v>9.8038634169792935</v>
      </c>
    </row>
    <row r="22" spans="1:12" x14ac:dyDescent="0.3">
      <c r="A22">
        <v>2020</v>
      </c>
      <c r="B22" s="1">
        <f t="shared" si="0"/>
        <v>9.9087647555409717</v>
      </c>
      <c r="C22" s="1">
        <f>$B22*C14</f>
        <v>5.8461712057691733</v>
      </c>
      <c r="D22" s="1">
        <f t="shared" ref="D22:I22" si="2">$B22*D14</f>
        <v>2.5762788364406526</v>
      </c>
      <c r="E22" s="1">
        <f t="shared" si="2"/>
        <v>0</v>
      </c>
      <c r="F22" s="1">
        <f t="shared" si="2"/>
        <v>1.030511534576261</v>
      </c>
      <c r="G22" s="1">
        <f t="shared" si="2"/>
        <v>0.45580317875488469</v>
      </c>
      <c r="H22" s="1">
        <f t="shared" si="2"/>
        <v>2.9726294266622915E-2</v>
      </c>
      <c r="I22" s="1">
        <f t="shared" si="2"/>
        <v>1.4863147133311455E-3</v>
      </c>
    </row>
    <row r="23" spans="1:12" x14ac:dyDescent="0.3">
      <c r="A23" t="s">
        <v>14</v>
      </c>
    </row>
    <row r="25" spans="1:12" x14ac:dyDescent="0.3">
      <c r="A25" t="s">
        <v>15</v>
      </c>
      <c r="B25" t="s">
        <v>16</v>
      </c>
      <c r="F25" t="s">
        <v>17</v>
      </c>
    </row>
    <row r="26" spans="1:12" x14ac:dyDescent="0.3">
      <c r="F26">
        <v>165</v>
      </c>
      <c r="G26">
        <v>330</v>
      </c>
      <c r="H26">
        <v>660</v>
      </c>
      <c r="I26">
        <v>1320</v>
      </c>
      <c r="J26">
        <v>2640</v>
      </c>
      <c r="K26" s="2" t="s">
        <v>18</v>
      </c>
      <c r="L26" s="2"/>
    </row>
    <row r="28" spans="1:12" x14ac:dyDescent="0.3">
      <c r="C28" t="s">
        <v>19</v>
      </c>
    </row>
    <row r="29" spans="1:12" x14ac:dyDescent="0.3">
      <c r="C29" t="s">
        <v>22</v>
      </c>
    </row>
    <row r="30" spans="1:12" x14ac:dyDescent="0.3">
      <c r="C30" t="s">
        <v>23</v>
      </c>
    </row>
    <row r="31" spans="1:12" x14ac:dyDescent="0.3">
      <c r="C31" t="s">
        <v>24</v>
      </c>
    </row>
    <row r="33" spans="1:17" x14ac:dyDescent="0.3">
      <c r="A33" t="s">
        <v>21</v>
      </c>
    </row>
    <row r="34" spans="1:17" x14ac:dyDescent="0.3">
      <c r="B34" t="s">
        <v>25</v>
      </c>
    </row>
    <row r="35" spans="1:17" x14ac:dyDescent="0.3">
      <c r="B35" t="s">
        <v>26</v>
      </c>
    </row>
    <row r="36" spans="1:17" x14ac:dyDescent="0.3">
      <c r="C36" t="s">
        <v>27</v>
      </c>
    </row>
    <row r="38" spans="1:17" x14ac:dyDescent="0.3">
      <c r="B38" t="s">
        <v>30</v>
      </c>
      <c r="E38" t="s">
        <v>31</v>
      </c>
      <c r="H38" t="s">
        <v>29</v>
      </c>
      <c r="K38" t="s">
        <v>34</v>
      </c>
      <c r="N38" t="s">
        <v>35</v>
      </c>
    </row>
    <row r="39" spans="1:17" x14ac:dyDescent="0.3">
      <c r="E39" t="s">
        <v>32</v>
      </c>
      <c r="K39" t="s">
        <v>33</v>
      </c>
      <c r="N39" t="s">
        <v>36</v>
      </c>
      <c r="P39" s="252" t="s">
        <v>1056</v>
      </c>
      <c r="Q39" s="252" t="s">
        <v>1057</v>
      </c>
    </row>
    <row r="40" spans="1:17" x14ac:dyDescent="0.3">
      <c r="A40" t="s">
        <v>28</v>
      </c>
      <c r="B40">
        <v>0.68</v>
      </c>
      <c r="E40">
        <v>0.79610000000000003</v>
      </c>
      <c r="H40">
        <v>0.69</v>
      </c>
      <c r="K40">
        <v>0.54</v>
      </c>
      <c r="N40">
        <v>1E-3</v>
      </c>
      <c r="Q40">
        <f>AVERAGE(E40, H40, K40)</f>
        <v>0.67536666666666667</v>
      </c>
    </row>
    <row r="41" spans="1:17" x14ac:dyDescent="0.3">
      <c r="A41" t="s">
        <v>9</v>
      </c>
      <c r="B41">
        <v>0.2</v>
      </c>
      <c r="E41">
        <v>0.12</v>
      </c>
      <c r="H41">
        <v>0.15</v>
      </c>
      <c r="K41">
        <v>0.122</v>
      </c>
      <c r="N41">
        <v>2.9000000000000001E-2</v>
      </c>
      <c r="Q41" s="214">
        <f t="shared" ref="Q41:Q46" si="3">AVERAGE(E41, H41, K41)</f>
        <v>0.13066666666666668</v>
      </c>
    </row>
    <row r="42" spans="1:17" x14ac:dyDescent="0.3">
      <c r="A42" t="s">
        <v>8</v>
      </c>
      <c r="B42">
        <v>5.6000000000000001E-2</v>
      </c>
      <c r="E42">
        <v>2.81E-2</v>
      </c>
      <c r="H42">
        <v>3.2000000000000001E-2</v>
      </c>
      <c r="K42">
        <v>0.12</v>
      </c>
      <c r="N42">
        <v>0.45100000000000001</v>
      </c>
      <c r="Q42" s="214">
        <f t="shared" si="3"/>
        <v>6.0033333333333327E-2</v>
      </c>
    </row>
    <row r="43" spans="1:17" x14ac:dyDescent="0.3">
      <c r="A43" t="s">
        <v>7</v>
      </c>
      <c r="B43">
        <v>0.03</v>
      </c>
      <c r="E43">
        <v>1.7999999999999999E-2</v>
      </c>
      <c r="H43">
        <v>3.2000000000000001E-2</v>
      </c>
      <c r="K43">
        <v>0.08</v>
      </c>
      <c r="N43">
        <v>1.008</v>
      </c>
      <c r="Q43" s="214">
        <f t="shared" si="3"/>
        <v>4.3333333333333335E-2</v>
      </c>
    </row>
    <row r="44" spans="1:17" x14ac:dyDescent="0.3">
      <c r="A44" t="s">
        <v>6</v>
      </c>
      <c r="B44">
        <v>1.7999999999999999E-2</v>
      </c>
      <c r="E44">
        <v>1.0999999999999999E-2</v>
      </c>
      <c r="H44">
        <v>3.2000000000000001E-2</v>
      </c>
      <c r="K44">
        <v>0.03</v>
      </c>
      <c r="N44">
        <v>2.5529999999999999</v>
      </c>
      <c r="Q44" s="214">
        <f t="shared" si="3"/>
        <v>2.4333333333333332E-2</v>
      </c>
    </row>
    <row r="45" spans="1:17" x14ac:dyDescent="0.3">
      <c r="A45" t="s">
        <v>5</v>
      </c>
      <c r="B45">
        <v>0.01</v>
      </c>
      <c r="E45">
        <v>1.0999999999999999E-2</v>
      </c>
      <c r="H45">
        <v>3.2000000000000001E-2</v>
      </c>
      <c r="K45">
        <v>2.9000000000000001E-2</v>
      </c>
      <c r="N45">
        <v>5.6909999999999998</v>
      </c>
      <c r="Q45" s="214">
        <f t="shared" si="3"/>
        <v>2.3999999999999997E-2</v>
      </c>
    </row>
    <row r="46" spans="1:17" x14ac:dyDescent="0.3">
      <c r="A46" t="s">
        <v>4</v>
      </c>
      <c r="B46">
        <v>6.0000000000000001E-3</v>
      </c>
      <c r="E46">
        <v>1.5800000000000002E-2</v>
      </c>
      <c r="H46">
        <v>3.2000000000000001E-2</v>
      </c>
      <c r="K46">
        <v>7.9000000000000001E-2</v>
      </c>
      <c r="N46">
        <v>9.5969999999999995</v>
      </c>
      <c r="P46">
        <f>B46*0.03+E46*0.24+H46*0.5+K46*0.23</f>
        <v>3.8142000000000002E-2</v>
      </c>
      <c r="Q46" s="214">
        <f t="shared" si="3"/>
        <v>4.2266666666666668E-2</v>
      </c>
    </row>
    <row r="48" spans="1:17" x14ac:dyDescent="0.3">
      <c r="A48" s="252" t="s">
        <v>1058</v>
      </c>
      <c r="B48">
        <f t="shared" ref="B48:E48" si="4">SUM(B42:B45)</f>
        <v>0.11399999999999999</v>
      </c>
      <c r="E48">
        <f t="shared" si="4"/>
        <v>6.8099999999999994E-2</v>
      </c>
      <c r="H48">
        <f>SUM(H42:H45)</f>
        <v>0.128</v>
      </c>
      <c r="K48">
        <f t="shared" ref="K48" si="5">SUM(K42:K45)</f>
        <v>0.25900000000000001</v>
      </c>
    </row>
    <row r="49" spans="1:12" x14ac:dyDescent="0.3">
      <c r="A49" s="252" t="s">
        <v>1059</v>
      </c>
      <c r="B49">
        <f t="shared" ref="B49:E49" si="6">SUM(B40:B46)</f>
        <v>1.0000000000000002</v>
      </c>
      <c r="E49">
        <f t="shared" si="6"/>
        <v>1</v>
      </c>
      <c r="H49">
        <f>SUM(H40:H46)</f>
        <v>1</v>
      </c>
      <c r="K49">
        <f t="shared" ref="K49" si="7">SUM(K40:K46)</f>
        <v>1</v>
      </c>
    </row>
    <row r="51" spans="1:12" x14ac:dyDescent="0.3">
      <c r="A51" t="s">
        <v>37</v>
      </c>
    </row>
    <row r="52" spans="1:12" x14ac:dyDescent="0.3">
      <c r="A52" t="s">
        <v>38</v>
      </c>
    </row>
    <row r="53" spans="1:12" x14ac:dyDescent="0.3">
      <c r="A53" t="s">
        <v>39</v>
      </c>
    </row>
    <row r="54" spans="1:12" x14ac:dyDescent="0.3">
      <c r="B54" t="s">
        <v>40</v>
      </c>
    </row>
    <row r="55" spans="1:12" x14ac:dyDescent="0.3">
      <c r="B55" t="s">
        <v>56</v>
      </c>
      <c r="K55" t="s">
        <v>567</v>
      </c>
    </row>
    <row r="56" spans="1:12" s="47" customFormat="1" x14ac:dyDescent="0.3">
      <c r="L56" s="47">
        <f>(50*0.33)/(365*24)</f>
        <v>1.8835616438356165E-3</v>
      </c>
    </row>
    <row r="57" spans="1:12" x14ac:dyDescent="0.3">
      <c r="A57" t="s">
        <v>568</v>
      </c>
    </row>
    <row r="58" spans="1:12" x14ac:dyDescent="0.3">
      <c r="B58" t="s">
        <v>41</v>
      </c>
    </row>
    <row r="59" spans="1:12" x14ac:dyDescent="0.3">
      <c r="B59" t="s">
        <v>57</v>
      </c>
    </row>
    <row r="60" spans="1:12" x14ac:dyDescent="0.3">
      <c r="B60" t="s">
        <v>42</v>
      </c>
      <c r="C60" t="s">
        <v>43</v>
      </c>
      <c r="D60" t="s">
        <v>44</v>
      </c>
      <c r="E60" t="s">
        <v>45</v>
      </c>
    </row>
    <row r="61" spans="1:12" x14ac:dyDescent="0.3">
      <c r="A61" t="s">
        <v>28</v>
      </c>
      <c r="B61" s="1">
        <f t="shared" ref="B61:B67" si="8">B40*N40*1</f>
        <v>6.8000000000000005E-4</v>
      </c>
      <c r="C61" s="1">
        <f t="shared" ref="C61:C67" si="9">E40*N40</f>
        <v>7.961E-4</v>
      </c>
      <c r="D61" s="1">
        <f t="shared" ref="D61:D67" si="10">H40*N40</f>
        <v>6.8999999999999997E-4</v>
      </c>
      <c r="E61" s="1">
        <f t="shared" ref="E61:E67" si="11">K40*N40</f>
        <v>5.4000000000000001E-4</v>
      </c>
    </row>
    <row r="62" spans="1:12" x14ac:dyDescent="0.3">
      <c r="A62" t="s">
        <v>9</v>
      </c>
      <c r="B62" s="1">
        <f t="shared" si="8"/>
        <v>5.8000000000000005E-3</v>
      </c>
      <c r="C62" s="1">
        <f t="shared" si="9"/>
        <v>3.48E-3</v>
      </c>
      <c r="D62" s="1">
        <f t="shared" si="10"/>
        <v>4.3499999999999997E-3</v>
      </c>
      <c r="E62" s="1">
        <f t="shared" si="11"/>
        <v>3.5379999999999999E-3</v>
      </c>
    </row>
    <row r="63" spans="1:12" x14ac:dyDescent="0.3">
      <c r="A63" t="s">
        <v>8</v>
      </c>
      <c r="B63" s="1">
        <f t="shared" si="8"/>
        <v>2.5256000000000001E-2</v>
      </c>
      <c r="C63" s="1">
        <f t="shared" si="9"/>
        <v>1.26731E-2</v>
      </c>
      <c r="D63" s="1">
        <f t="shared" si="10"/>
        <v>1.4432E-2</v>
      </c>
      <c r="E63" s="1">
        <f t="shared" si="11"/>
        <v>5.4120000000000001E-2</v>
      </c>
    </row>
    <row r="64" spans="1:12" x14ac:dyDescent="0.3">
      <c r="A64" t="s">
        <v>7</v>
      </c>
      <c r="B64" s="1">
        <f t="shared" si="8"/>
        <v>3.024E-2</v>
      </c>
      <c r="C64" s="1">
        <f t="shared" si="9"/>
        <v>1.8144E-2</v>
      </c>
      <c r="D64" s="1">
        <f t="shared" si="10"/>
        <v>3.2256E-2</v>
      </c>
      <c r="E64" s="1">
        <f t="shared" si="11"/>
        <v>8.0640000000000003E-2</v>
      </c>
    </row>
    <row r="65" spans="1:12" x14ac:dyDescent="0.3">
      <c r="A65" t="s">
        <v>6</v>
      </c>
      <c r="B65" s="1">
        <f t="shared" si="8"/>
        <v>4.5953999999999995E-2</v>
      </c>
      <c r="C65" s="1">
        <f t="shared" si="9"/>
        <v>2.8082999999999997E-2</v>
      </c>
      <c r="D65" s="1">
        <f t="shared" si="10"/>
        <v>8.1696000000000005E-2</v>
      </c>
      <c r="E65" s="1">
        <f t="shared" si="11"/>
        <v>7.6589999999999991E-2</v>
      </c>
    </row>
    <row r="66" spans="1:12" x14ac:dyDescent="0.3">
      <c r="A66" t="s">
        <v>5</v>
      </c>
      <c r="B66" s="1">
        <f t="shared" si="8"/>
        <v>5.6910000000000002E-2</v>
      </c>
      <c r="C66" s="1">
        <f t="shared" si="9"/>
        <v>6.260099999999999E-2</v>
      </c>
      <c r="D66" s="1">
        <f t="shared" si="10"/>
        <v>0.182112</v>
      </c>
      <c r="E66" s="1">
        <f t="shared" si="11"/>
        <v>0.16503899999999999</v>
      </c>
    </row>
    <row r="67" spans="1:12" x14ac:dyDescent="0.3">
      <c r="A67" s="8" t="s">
        <v>4</v>
      </c>
      <c r="B67" s="9">
        <f t="shared" si="8"/>
        <v>5.7582000000000001E-2</v>
      </c>
      <c r="C67" s="9">
        <f t="shared" si="9"/>
        <v>0.15163260000000001</v>
      </c>
      <c r="D67" s="9">
        <f t="shared" si="10"/>
        <v>0.30710399999999999</v>
      </c>
      <c r="E67" s="9">
        <f t="shared" si="11"/>
        <v>0.75816299999999992</v>
      </c>
    </row>
    <row r="68" spans="1:12" x14ac:dyDescent="0.3">
      <c r="A68" s="10" t="s">
        <v>112</v>
      </c>
      <c r="B68" s="11">
        <v>0.03</v>
      </c>
      <c r="C68" s="11">
        <v>0.24</v>
      </c>
      <c r="D68" s="11">
        <v>0.5</v>
      </c>
      <c r="E68" s="11">
        <v>0.23</v>
      </c>
      <c r="F68" s="1">
        <f>SUM(B68:E68)</f>
        <v>1</v>
      </c>
    </row>
    <row r="69" spans="1:12" x14ac:dyDescent="0.3">
      <c r="A69" t="s">
        <v>46</v>
      </c>
      <c r="B69" s="1">
        <f>SUM(B61:B67)</f>
        <v>0.22242199999999998</v>
      </c>
      <c r="C69" s="1">
        <f>SUM(C61:C67)</f>
        <v>0.27740979999999998</v>
      </c>
      <c r="D69" s="1">
        <f>SUM(D61:D67)</f>
        <v>0.62263999999999997</v>
      </c>
      <c r="E69" s="1">
        <f>SUM(E61:E67)</f>
        <v>1.13863</v>
      </c>
      <c r="G69" t="s">
        <v>116</v>
      </c>
      <c r="K69" t="s">
        <v>569</v>
      </c>
    </row>
    <row r="70" spans="1:12" x14ac:dyDescent="0.3">
      <c r="A70" t="s">
        <v>47</v>
      </c>
      <c r="B70" s="1">
        <f>B69*10</f>
        <v>2.2242199999999999</v>
      </c>
      <c r="C70" s="1">
        <f t="shared" ref="C70:E70" si="12">C69*10</f>
        <v>2.774098</v>
      </c>
      <c r="D70" s="1">
        <f t="shared" si="12"/>
        <v>6.2263999999999999</v>
      </c>
      <c r="E70" s="1">
        <f t="shared" si="12"/>
        <v>11.3863</v>
      </c>
      <c r="F70" s="1"/>
      <c r="G70" s="1">
        <f>B70*0.03+C70*0.24+D70*0.5+E70*0.23</f>
        <v>6.4645591199999997</v>
      </c>
      <c r="H70" t="s">
        <v>54</v>
      </c>
      <c r="L70" s="1">
        <f>G70*0.002</f>
        <v>1.2929118239999999E-2</v>
      </c>
    </row>
    <row r="71" spans="1:12" x14ac:dyDescent="0.3">
      <c r="G71" t="s">
        <v>571</v>
      </c>
    </row>
    <row r="72" spans="1:12" x14ac:dyDescent="0.3">
      <c r="A72" t="s">
        <v>49</v>
      </c>
    </row>
    <row r="73" spans="1:12" x14ac:dyDescent="0.3">
      <c r="A73" t="s">
        <v>48</v>
      </c>
    </row>
    <row r="74" spans="1:12" x14ac:dyDescent="0.3">
      <c r="A74" t="s">
        <v>51</v>
      </c>
    </row>
    <row r="75" spans="1:12" x14ac:dyDescent="0.3">
      <c r="A75" t="s">
        <v>50</v>
      </c>
    </row>
    <row r="77" spans="1:12" x14ac:dyDescent="0.3">
      <c r="A77" t="s">
        <v>53</v>
      </c>
    </row>
    <row r="79" spans="1:12" x14ac:dyDescent="0.3">
      <c r="A79" t="s">
        <v>570</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86"/>
  <sheetViews>
    <sheetView topLeftCell="P1" workbookViewId="0">
      <selection activeCell="AE25" sqref="AE25"/>
    </sheetView>
  </sheetViews>
  <sheetFormatPr defaultColWidth="9.109375" defaultRowHeight="14.4" x14ac:dyDescent="0.3"/>
  <cols>
    <col min="1" max="1" width="15.33203125" style="117" customWidth="1"/>
    <col min="2" max="5" width="9.109375" style="117"/>
    <col min="6" max="6" width="10.6640625" style="117" customWidth="1"/>
    <col min="7" max="12" width="9.109375" style="117"/>
    <col min="13" max="13" width="8.21875" style="117" customWidth="1"/>
    <col min="14" max="14" width="10.21875" style="117" customWidth="1"/>
    <col min="15" max="15" width="10.33203125" style="117" customWidth="1"/>
    <col min="16" max="17" width="9.109375" style="117"/>
    <col min="18" max="18" width="8.5546875" style="117" customWidth="1"/>
    <col min="19" max="19" width="7.77734375" style="117" customWidth="1"/>
    <col min="20" max="20" width="6.88671875" style="117" customWidth="1"/>
    <col min="21" max="21" width="5.88671875" style="117" customWidth="1"/>
    <col min="22" max="22" width="6.5546875" style="117" customWidth="1"/>
    <col min="23" max="24" width="9.109375" style="117"/>
    <col min="25" max="25" width="10.88671875" style="117" customWidth="1"/>
    <col min="26" max="26" width="10.44140625" style="117" customWidth="1"/>
    <col min="27" max="27" width="10.77734375" style="117" customWidth="1"/>
    <col min="28" max="28" width="10.5546875" style="117" customWidth="1"/>
    <col min="29" max="16384" width="9.109375" style="117"/>
  </cols>
  <sheetData>
    <row r="1" spans="1:6" x14ac:dyDescent="0.3">
      <c r="A1" s="86" t="s">
        <v>650</v>
      </c>
    </row>
    <row r="2" spans="1:6" x14ac:dyDescent="0.3">
      <c r="A2" s="117" t="s">
        <v>646</v>
      </c>
    </row>
    <row r="3" spans="1:6" x14ac:dyDescent="0.3">
      <c r="B3" s="117" t="s">
        <v>672</v>
      </c>
    </row>
    <row r="4" spans="1:6" x14ac:dyDescent="0.3">
      <c r="B4" s="117" t="s">
        <v>667</v>
      </c>
    </row>
    <row r="5" spans="1:6" x14ac:dyDescent="0.3">
      <c r="C5" s="117" t="s">
        <v>651</v>
      </c>
      <c r="F5" s="117" t="s">
        <v>700</v>
      </c>
    </row>
    <row r="6" spans="1:6" x14ac:dyDescent="0.3">
      <c r="C6" s="117" t="s">
        <v>652</v>
      </c>
      <c r="E6" s="117" t="s">
        <v>653</v>
      </c>
    </row>
    <row r="7" spans="1:6" x14ac:dyDescent="0.3">
      <c r="F7" s="117" t="s">
        <v>654</v>
      </c>
    </row>
    <row r="8" spans="1:6" x14ac:dyDescent="0.3">
      <c r="F8" s="117" t="s">
        <v>668</v>
      </c>
    </row>
    <row r="9" spans="1:6" x14ac:dyDescent="0.3">
      <c r="C9" s="117" t="s">
        <v>671</v>
      </c>
    </row>
    <row r="10" spans="1:6" x14ac:dyDescent="0.3">
      <c r="D10" s="117" t="s">
        <v>669</v>
      </c>
    </row>
    <row r="11" spans="1:6" x14ac:dyDescent="0.3">
      <c r="D11" s="117" t="s">
        <v>670</v>
      </c>
    </row>
    <row r="12" spans="1:6" x14ac:dyDescent="0.3">
      <c r="B12" s="78" t="s">
        <v>655</v>
      </c>
    </row>
    <row r="13" spans="1:6" x14ac:dyDescent="0.3">
      <c r="B13" s="78" t="s">
        <v>691</v>
      </c>
    </row>
    <row r="16" spans="1:6" x14ac:dyDescent="0.3">
      <c r="E16" s="117" t="s">
        <v>0</v>
      </c>
      <c r="F16" s="117" t="s">
        <v>663</v>
      </c>
    </row>
    <row r="17" spans="1:38" x14ac:dyDescent="0.3">
      <c r="E17" s="117" t="s">
        <v>13</v>
      </c>
      <c r="F17" s="117" t="s">
        <v>664</v>
      </c>
    </row>
    <row r="18" spans="1:38" x14ac:dyDescent="0.3">
      <c r="A18" s="117" t="s">
        <v>656</v>
      </c>
      <c r="D18" s="133">
        <v>6.4</v>
      </c>
      <c r="AA18" s="117" t="s">
        <v>1050</v>
      </c>
    </row>
    <row r="19" spans="1:38" x14ac:dyDescent="0.3">
      <c r="A19" s="117" t="s">
        <v>657</v>
      </c>
      <c r="D19" s="133">
        <v>2200</v>
      </c>
      <c r="Y19" s="117" t="s">
        <v>1051</v>
      </c>
      <c r="Z19" s="117">
        <v>5</v>
      </c>
      <c r="AA19" s="117" t="s">
        <v>1049</v>
      </c>
    </row>
    <row r="20" spans="1:38" x14ac:dyDescent="0.3">
      <c r="A20" s="117" t="s">
        <v>665</v>
      </c>
      <c r="D20" s="144">
        <f>0.685*(D19*D18^2)^0.5</f>
        <v>205.62782691065917</v>
      </c>
      <c r="E20" s="156">
        <v>2.2999999999999998</v>
      </c>
      <c r="F20" s="144">
        <f>D20*E20</f>
        <v>472.94400189451602</v>
      </c>
      <c r="G20" s="117" t="s">
        <v>702</v>
      </c>
      <c r="Z20" s="117">
        <v>4</v>
      </c>
      <c r="AA20" s="117" t="s">
        <v>81</v>
      </c>
    </row>
    <row r="21" spans="1:38" x14ac:dyDescent="0.3">
      <c r="A21" s="117" t="s">
        <v>658</v>
      </c>
      <c r="D21" s="133">
        <v>10</v>
      </c>
      <c r="H21" s="117" t="s">
        <v>701</v>
      </c>
      <c r="Z21" s="117">
        <v>3</v>
      </c>
      <c r="AA21" s="117" t="s">
        <v>78</v>
      </c>
    </row>
    <row r="22" spans="1:38" x14ac:dyDescent="0.3">
      <c r="A22" s="117" t="s">
        <v>659</v>
      </c>
      <c r="D22" s="108">
        <f>D21*1000000/24/60/60/23.55173</f>
        <v>4.9143201259839824</v>
      </c>
      <c r="H22" s="117" t="s">
        <v>704</v>
      </c>
      <c r="Z22" s="117">
        <v>2</v>
      </c>
      <c r="AA22" s="3" t="s">
        <v>91</v>
      </c>
    </row>
    <row r="23" spans="1:38" x14ac:dyDescent="0.3">
      <c r="A23" s="117" t="s">
        <v>660</v>
      </c>
      <c r="D23" s="7">
        <f>745*D22^0.92</f>
        <v>3223.3141960279427</v>
      </c>
      <c r="Z23" s="117">
        <v>1</v>
      </c>
      <c r="AA23" s="117" t="s">
        <v>79</v>
      </c>
    </row>
    <row r="24" spans="1:38" x14ac:dyDescent="0.3">
      <c r="A24" s="117" t="s">
        <v>661</v>
      </c>
      <c r="D24" s="144">
        <f>(D23/3.142)^0.5</f>
        <v>32.029357733986309</v>
      </c>
      <c r="E24" s="156">
        <v>2.5</v>
      </c>
      <c r="F24" s="144">
        <f>D24*E24</f>
        <v>80.073394334965769</v>
      </c>
      <c r="G24" s="117" t="s">
        <v>666</v>
      </c>
      <c r="AF24" s="145"/>
      <c r="AG24" s="145"/>
      <c r="AH24" s="145"/>
      <c r="AI24" s="145"/>
      <c r="AJ24" s="145"/>
      <c r="AK24" s="145"/>
      <c r="AL24" s="145"/>
    </row>
    <row r="25" spans="1:38" x14ac:dyDescent="0.3">
      <c r="H25" s="117" t="s">
        <v>703</v>
      </c>
      <c r="AF25" s="145"/>
      <c r="AG25" s="145"/>
      <c r="AH25" s="145"/>
      <c r="AI25" s="145"/>
      <c r="AJ25" s="145"/>
      <c r="AK25" s="145"/>
      <c r="AL25" s="145"/>
    </row>
    <row r="26" spans="1:38" x14ac:dyDescent="0.3">
      <c r="U26" s="128"/>
      <c r="V26" s="128"/>
      <c r="W26" s="128"/>
      <c r="X26" s="207"/>
      <c r="Y26" s="146"/>
      <c r="Z26" s="146"/>
      <c r="AA26" s="146"/>
      <c r="AB26" s="146"/>
      <c r="AC26" s="207"/>
      <c r="AF26" s="145"/>
      <c r="AG26" s="145"/>
      <c r="AH26" s="145"/>
      <c r="AI26" s="145"/>
      <c r="AJ26" s="146"/>
      <c r="AK26" s="145"/>
      <c r="AL26" s="145"/>
    </row>
    <row r="27" spans="1:38" x14ac:dyDescent="0.3">
      <c r="A27" s="117" t="s">
        <v>673</v>
      </c>
      <c r="U27" s="207"/>
      <c r="V27" s="207"/>
      <c r="W27" s="207"/>
      <c r="X27" s="207"/>
      <c r="Y27" s="207"/>
      <c r="Z27" s="207"/>
      <c r="AA27" s="207"/>
      <c r="AB27" s="207"/>
      <c r="AC27" s="207"/>
      <c r="AF27" s="145"/>
      <c r="AG27" s="145"/>
      <c r="AH27" s="145"/>
      <c r="AI27" s="145"/>
      <c r="AJ27" s="145"/>
      <c r="AK27" s="145"/>
      <c r="AL27" s="145"/>
    </row>
    <row r="28" spans="1:38" x14ac:dyDescent="0.3">
      <c r="U28" s="207"/>
      <c r="V28" s="207"/>
      <c r="W28" s="207"/>
      <c r="X28" s="207"/>
      <c r="Y28" s="207"/>
      <c r="Z28" s="207"/>
      <c r="AA28" s="207"/>
      <c r="AB28" s="207"/>
      <c r="AC28" s="207"/>
      <c r="AF28" s="145"/>
      <c r="AG28" s="145"/>
      <c r="AH28" s="353"/>
      <c r="AI28" s="353"/>
      <c r="AJ28" s="145"/>
      <c r="AK28" s="145"/>
      <c r="AL28" s="145"/>
    </row>
    <row r="29" spans="1:38" x14ac:dyDescent="0.3">
      <c r="A29" s="117" t="s">
        <v>15</v>
      </c>
      <c r="B29" s="117" t="s">
        <v>16</v>
      </c>
      <c r="F29" s="117" t="s">
        <v>17</v>
      </c>
      <c r="U29" s="207"/>
      <c r="V29" s="207"/>
      <c r="W29" s="207"/>
      <c r="X29" s="207"/>
      <c r="Y29" s="207"/>
      <c r="Z29" s="207"/>
      <c r="AA29" s="207"/>
      <c r="AB29" s="207"/>
      <c r="AC29" s="207"/>
      <c r="AF29" s="145"/>
      <c r="AG29" s="145"/>
      <c r="AH29" s="353"/>
      <c r="AI29" s="353"/>
      <c r="AJ29" s="145"/>
      <c r="AK29" s="145"/>
      <c r="AL29" s="145"/>
    </row>
    <row r="30" spans="1:38" x14ac:dyDescent="0.3">
      <c r="F30" s="117">
        <v>165</v>
      </c>
      <c r="G30" s="117">
        <v>330</v>
      </c>
      <c r="H30" s="117">
        <v>660</v>
      </c>
      <c r="I30" s="117">
        <v>1320</v>
      </c>
      <c r="J30" s="117">
        <v>2640</v>
      </c>
      <c r="K30" s="2" t="s">
        <v>18</v>
      </c>
      <c r="L30" s="2"/>
      <c r="U30" s="207"/>
      <c r="V30" s="207"/>
      <c r="W30" s="207"/>
      <c r="X30" s="207"/>
      <c r="Y30" s="207"/>
      <c r="Z30" s="207"/>
      <c r="AA30" s="207"/>
      <c r="AB30" s="207"/>
      <c r="AC30" s="207"/>
      <c r="AF30" s="145"/>
      <c r="AG30" s="145"/>
      <c r="AH30" s="145"/>
      <c r="AI30" s="145"/>
      <c r="AJ30" s="145"/>
      <c r="AK30" s="145"/>
      <c r="AL30" s="145"/>
    </row>
    <row r="31" spans="1:38" x14ac:dyDescent="0.3">
      <c r="U31" s="207"/>
      <c r="V31" s="207"/>
      <c r="W31" s="207"/>
      <c r="X31" s="207"/>
      <c r="Y31" s="207"/>
      <c r="Z31" s="207"/>
      <c r="AA31" s="207"/>
      <c r="AB31" s="207"/>
      <c r="AC31" s="207"/>
      <c r="AF31" s="145"/>
      <c r="AG31" s="145"/>
      <c r="AH31" s="145"/>
      <c r="AI31" s="145"/>
      <c r="AJ31" s="145"/>
      <c r="AK31" s="145"/>
      <c r="AL31" s="145"/>
    </row>
    <row r="32" spans="1:38" x14ac:dyDescent="0.3">
      <c r="C32" s="117" t="s">
        <v>19</v>
      </c>
      <c r="U32" s="207"/>
      <c r="V32" s="207"/>
      <c r="W32" s="207"/>
      <c r="X32" s="207"/>
      <c r="Y32" s="207"/>
      <c r="Z32" s="207"/>
      <c r="AA32" s="207"/>
      <c r="AB32" s="207"/>
      <c r="AC32" s="207"/>
      <c r="AF32" s="145"/>
      <c r="AG32" s="145"/>
      <c r="AH32" s="353"/>
      <c r="AI32" s="353"/>
      <c r="AJ32" s="145"/>
      <c r="AK32" s="145"/>
      <c r="AL32" s="145"/>
    </row>
    <row r="33" spans="1:38" x14ac:dyDescent="0.3">
      <c r="C33" s="117" t="s">
        <v>24</v>
      </c>
      <c r="U33" s="207"/>
      <c r="V33" s="207"/>
      <c r="W33" s="207"/>
      <c r="X33" s="207"/>
      <c r="Y33" s="207"/>
      <c r="Z33" s="207"/>
      <c r="AA33" s="207"/>
      <c r="AB33" s="207"/>
      <c r="AC33" s="207"/>
      <c r="AF33" s="145"/>
      <c r="AG33" s="145"/>
      <c r="AH33" s="145"/>
      <c r="AI33" s="145"/>
      <c r="AJ33" s="145"/>
      <c r="AK33" s="145"/>
      <c r="AL33" s="145"/>
    </row>
    <row r="34" spans="1:38" x14ac:dyDescent="0.3">
      <c r="B34" s="133">
        <v>660</v>
      </c>
      <c r="C34" s="117" t="s">
        <v>676</v>
      </c>
      <c r="N34" s="249"/>
      <c r="O34" s="249" t="s">
        <v>867</v>
      </c>
      <c r="P34" s="249" t="s">
        <v>1044</v>
      </c>
      <c r="Q34" s="249" t="s">
        <v>1045</v>
      </c>
      <c r="R34" s="249"/>
      <c r="S34" s="249" t="s">
        <v>1046</v>
      </c>
      <c r="T34" s="249" t="s">
        <v>1047</v>
      </c>
      <c r="U34" s="207"/>
      <c r="V34" s="207"/>
      <c r="W34" s="207"/>
      <c r="X34" s="207"/>
      <c r="Y34" s="207"/>
      <c r="Z34" s="207"/>
      <c r="AA34" s="207"/>
      <c r="AB34" s="207"/>
      <c r="AC34" s="207"/>
      <c r="AF34" s="145"/>
      <c r="AG34" s="145"/>
      <c r="AH34" s="145"/>
      <c r="AI34" s="145"/>
      <c r="AJ34" s="145"/>
      <c r="AK34" s="145"/>
      <c r="AL34" s="145"/>
    </row>
    <row r="35" spans="1:38" x14ac:dyDescent="0.3">
      <c r="B35" s="133">
        <v>54</v>
      </c>
      <c r="C35" s="117" t="s">
        <v>674</v>
      </c>
      <c r="N35" s="249" t="s">
        <v>1043</v>
      </c>
      <c r="O35" s="249">
        <f>3.1416*(660/5280)^2</f>
        <v>4.9087499999999999E-2</v>
      </c>
      <c r="P35" s="249">
        <v>10000</v>
      </c>
      <c r="Q35" s="250">
        <f>P35*$O$35</f>
        <v>490.875</v>
      </c>
      <c r="R35" s="250"/>
      <c r="S35" s="250">
        <f>P35*$O$36</f>
        <v>122.71875</v>
      </c>
      <c r="T35" s="250">
        <f>P35*$O$37</f>
        <v>30.6796875</v>
      </c>
      <c r="U35" s="207"/>
      <c r="V35" s="207"/>
      <c r="W35" s="207"/>
      <c r="X35" s="207"/>
      <c r="Y35" s="207"/>
      <c r="Z35" s="207"/>
      <c r="AA35" s="207"/>
      <c r="AB35" s="207"/>
      <c r="AC35" s="207"/>
      <c r="AF35" s="145"/>
      <c r="AG35" s="145"/>
      <c r="AH35" s="353"/>
      <c r="AI35" s="353"/>
      <c r="AJ35" s="145"/>
      <c r="AK35" s="145"/>
      <c r="AL35" s="145"/>
    </row>
    <row r="36" spans="1:38" x14ac:dyDescent="0.3">
      <c r="B36" s="133">
        <v>2E-3</v>
      </c>
      <c r="C36" s="145" t="s">
        <v>675</v>
      </c>
      <c r="N36" s="249"/>
      <c r="O36" s="249">
        <f>3.1416*(330/5280)^2</f>
        <v>1.2271875E-2</v>
      </c>
      <c r="P36" s="249">
        <v>1000</v>
      </c>
      <c r="Q36" s="250">
        <f t="shared" ref="Q36:Q39" si="0">P36*$O$35</f>
        <v>49.087499999999999</v>
      </c>
      <c r="R36" s="250"/>
      <c r="S36" s="250">
        <f t="shared" ref="S36:S39" si="1">P36*$O$36</f>
        <v>12.271875</v>
      </c>
      <c r="T36" s="250">
        <f t="shared" ref="T36:T39" si="2">P36*$O$37</f>
        <v>3.0679687499999999</v>
      </c>
      <c r="U36" s="207"/>
      <c r="V36" s="207"/>
      <c r="W36" s="207"/>
      <c r="X36" s="207"/>
      <c r="Y36" s="207"/>
      <c r="Z36" s="207"/>
      <c r="AA36" s="207"/>
      <c r="AB36" s="207"/>
      <c r="AC36" s="207"/>
      <c r="AF36" s="145"/>
      <c r="AG36" s="145"/>
      <c r="AH36" s="353"/>
      <c r="AI36" s="353"/>
      <c r="AJ36" s="145"/>
      <c r="AK36" s="145"/>
      <c r="AL36" s="145"/>
    </row>
    <row r="37" spans="1:38" x14ac:dyDescent="0.3">
      <c r="B37" s="145"/>
      <c r="C37" s="145"/>
      <c r="N37" s="249"/>
      <c r="O37" s="249">
        <f>3.1416*(165/5280)^2</f>
        <v>3.0679687499999999E-3</v>
      </c>
      <c r="P37" s="249">
        <v>100</v>
      </c>
      <c r="Q37" s="250">
        <f t="shared" si="0"/>
        <v>4.9087499999999995</v>
      </c>
      <c r="R37" s="250"/>
      <c r="S37" s="250">
        <f t="shared" si="1"/>
        <v>1.2271874999999999</v>
      </c>
      <c r="T37" s="250">
        <f t="shared" si="2"/>
        <v>0.30679687499999997</v>
      </c>
      <c r="U37" s="207"/>
      <c r="V37" s="207"/>
      <c r="W37" s="207"/>
      <c r="X37" s="207"/>
      <c r="Y37" s="207"/>
      <c r="Z37" s="207"/>
      <c r="AA37" s="207"/>
      <c r="AB37" s="207"/>
      <c r="AC37" s="207"/>
      <c r="AF37" s="145"/>
      <c r="AG37" s="145"/>
      <c r="AH37" s="353"/>
      <c r="AI37" s="353"/>
      <c r="AJ37" s="145"/>
      <c r="AK37" s="145"/>
      <c r="AL37" s="145"/>
    </row>
    <row r="38" spans="1:38" x14ac:dyDescent="0.3">
      <c r="A38" s="86" t="s">
        <v>679</v>
      </c>
      <c r="B38" s="146"/>
      <c r="C38" s="146"/>
      <c r="D38" s="86"/>
      <c r="N38" s="249"/>
      <c r="O38" s="249"/>
      <c r="P38" s="249">
        <v>10</v>
      </c>
      <c r="Q38" s="250">
        <f t="shared" si="0"/>
        <v>0.49087500000000001</v>
      </c>
      <c r="R38" s="250"/>
      <c r="S38" s="250">
        <f t="shared" si="1"/>
        <v>0.12271875</v>
      </c>
      <c r="T38" s="250">
        <f t="shared" si="2"/>
        <v>3.06796875E-2</v>
      </c>
      <c r="U38" s="207"/>
      <c r="V38" s="207"/>
      <c r="W38" s="207"/>
      <c r="X38" s="207"/>
      <c r="Y38" s="207"/>
      <c r="Z38" s="207"/>
      <c r="AA38" s="207"/>
      <c r="AB38" s="207"/>
      <c r="AC38" s="207"/>
      <c r="AF38" s="145"/>
      <c r="AG38" s="145"/>
      <c r="AH38" s="353"/>
      <c r="AI38" s="353"/>
      <c r="AJ38" s="145"/>
      <c r="AK38" s="145"/>
      <c r="AL38" s="145"/>
    </row>
    <row r="39" spans="1:38" x14ac:dyDescent="0.3">
      <c r="A39" s="86"/>
      <c r="B39" s="147" t="s">
        <v>641</v>
      </c>
      <c r="C39" s="147" t="s">
        <v>632</v>
      </c>
      <c r="D39" s="87" t="s">
        <v>677</v>
      </c>
      <c r="N39" s="249"/>
      <c r="O39" s="249"/>
      <c r="P39" s="249">
        <v>1</v>
      </c>
      <c r="Q39" s="250">
        <f t="shared" si="0"/>
        <v>4.9087499999999999E-2</v>
      </c>
      <c r="R39" s="250"/>
      <c r="S39" s="250">
        <f t="shared" si="1"/>
        <v>1.2271875E-2</v>
      </c>
      <c r="T39" s="250">
        <f t="shared" si="2"/>
        <v>3.0679687499999999E-3</v>
      </c>
      <c r="U39" s="207"/>
      <c r="V39" s="207"/>
      <c r="W39" s="207"/>
      <c r="X39" s="207"/>
      <c r="Y39" s="207"/>
      <c r="Z39" s="207"/>
      <c r="AA39" s="207"/>
      <c r="AB39" s="207"/>
      <c r="AC39" s="207"/>
      <c r="AF39" s="145"/>
      <c r="AG39" s="145"/>
      <c r="AH39" s="145"/>
      <c r="AI39" s="145"/>
      <c r="AJ39" s="145"/>
      <c r="AK39" s="145"/>
      <c r="AL39" s="145"/>
    </row>
    <row r="40" spans="1:38" x14ac:dyDescent="0.3">
      <c r="A40" s="117" t="s">
        <v>678</v>
      </c>
      <c r="B40" s="134">
        <f>B35*C81</f>
        <v>149.80129199999999</v>
      </c>
      <c r="C40" s="134">
        <f>B35*G81</f>
        <v>349.08619247999997</v>
      </c>
      <c r="D40" s="134">
        <f>B35*E81</f>
        <v>614.86019999999996</v>
      </c>
      <c r="F40" s="117" t="s">
        <v>710</v>
      </c>
      <c r="U40" s="207"/>
      <c r="V40" s="207"/>
      <c r="W40" s="207"/>
      <c r="X40" s="207"/>
      <c r="Y40" s="207"/>
      <c r="Z40" s="207"/>
      <c r="AA40" s="207"/>
      <c r="AB40" s="207"/>
      <c r="AC40" s="207"/>
      <c r="AF40" s="145"/>
      <c r="AG40" s="145"/>
      <c r="AH40" s="353"/>
      <c r="AI40" s="353"/>
      <c r="AJ40" s="145"/>
      <c r="AK40" s="145"/>
      <c r="AL40" s="145"/>
    </row>
    <row r="41" spans="1:38" x14ac:dyDescent="0.3">
      <c r="A41" s="117" t="s">
        <v>692</v>
      </c>
      <c r="B41" s="145"/>
      <c r="C41" s="145"/>
      <c r="G41" s="4" t="s">
        <v>712</v>
      </c>
      <c r="N41" s="117" t="s">
        <v>1048</v>
      </c>
      <c r="U41" s="207"/>
      <c r="V41" s="207"/>
      <c r="W41" s="207"/>
      <c r="X41" s="207"/>
      <c r="Y41" s="207"/>
      <c r="Z41" s="207"/>
      <c r="AA41" s="207"/>
      <c r="AB41" s="207"/>
      <c r="AC41" s="207"/>
      <c r="AF41" s="145"/>
      <c r="AG41" s="145"/>
      <c r="AH41" s="353"/>
      <c r="AI41" s="353"/>
      <c r="AJ41" s="145"/>
      <c r="AK41" s="145"/>
      <c r="AL41" s="145"/>
    </row>
    <row r="42" spans="1:38" x14ac:dyDescent="0.3">
      <c r="B42" s="134">
        <f>B36*C81</f>
        <v>5.548196E-3</v>
      </c>
      <c r="C42" s="134">
        <f>B36*G81</f>
        <v>1.2929118239999999E-2</v>
      </c>
      <c r="D42" s="134">
        <f>B36*E81</f>
        <v>2.27726E-2</v>
      </c>
      <c r="F42" s="117" t="s">
        <v>709</v>
      </c>
      <c r="U42" s="207"/>
      <c r="V42" s="207"/>
      <c r="W42" s="207"/>
      <c r="X42" s="207"/>
      <c r="Y42" s="207"/>
      <c r="Z42" s="207"/>
      <c r="AA42" s="207"/>
      <c r="AB42" s="207"/>
      <c r="AC42" s="207"/>
      <c r="AF42" s="145"/>
      <c r="AG42" s="145"/>
      <c r="AH42" s="145"/>
      <c r="AI42" s="145"/>
      <c r="AJ42" s="145"/>
      <c r="AK42" s="145"/>
      <c r="AL42" s="145"/>
    </row>
    <row r="43" spans="1:38" x14ac:dyDescent="0.3">
      <c r="B43" s="145"/>
      <c r="C43" s="145"/>
      <c r="G43" s="4" t="s">
        <v>712</v>
      </c>
      <c r="U43" s="207"/>
      <c r="V43" s="207"/>
      <c r="W43" s="207"/>
      <c r="X43" s="207"/>
      <c r="Y43" s="207"/>
      <c r="Z43" s="207"/>
      <c r="AA43" s="207"/>
      <c r="AB43" s="207"/>
      <c r="AC43" s="207"/>
      <c r="AF43" s="145"/>
      <c r="AG43" s="145"/>
      <c r="AH43" s="353"/>
      <c r="AI43" s="353"/>
      <c r="AJ43" s="145"/>
      <c r="AK43" s="145"/>
      <c r="AL43" s="145"/>
    </row>
    <row r="44" spans="1:38" x14ac:dyDescent="0.3">
      <c r="B44" s="145"/>
      <c r="C44" s="145"/>
      <c r="U44" s="207"/>
      <c r="V44" s="207"/>
      <c r="W44" s="207"/>
      <c r="X44" s="207"/>
      <c r="Y44" s="207"/>
      <c r="Z44" s="207"/>
      <c r="AA44" s="207"/>
      <c r="AB44" s="207"/>
      <c r="AC44" s="207"/>
      <c r="AF44" s="145"/>
      <c r="AG44" s="145"/>
      <c r="AH44" s="145"/>
      <c r="AI44" s="145"/>
      <c r="AJ44" s="145"/>
      <c r="AK44" s="145"/>
      <c r="AL44" s="145"/>
    </row>
    <row r="45" spans="1:38" x14ac:dyDescent="0.3">
      <c r="B45" s="145"/>
      <c r="C45" s="145"/>
      <c r="U45" s="207"/>
      <c r="V45" s="207"/>
      <c r="W45" s="207"/>
      <c r="X45" s="207"/>
      <c r="Y45" s="207"/>
      <c r="Z45" s="207"/>
      <c r="AA45" s="207"/>
      <c r="AB45" s="207"/>
      <c r="AC45" s="207"/>
      <c r="AF45" s="145"/>
      <c r="AG45" s="145"/>
      <c r="AH45" s="145"/>
      <c r="AI45" s="145"/>
      <c r="AJ45" s="145"/>
      <c r="AK45" s="145"/>
      <c r="AL45" s="145"/>
    </row>
    <row r="46" spans="1:38" x14ac:dyDescent="0.3">
      <c r="A46" s="117" t="s">
        <v>21</v>
      </c>
      <c r="U46" s="207"/>
      <c r="V46" s="207"/>
      <c r="W46" s="207"/>
      <c r="X46" s="207"/>
      <c r="Y46" s="207"/>
      <c r="Z46" s="207"/>
      <c r="AA46" s="207"/>
      <c r="AB46" s="207"/>
      <c r="AC46" s="207"/>
      <c r="AF46" s="145"/>
      <c r="AG46" s="145"/>
      <c r="AH46" s="353"/>
      <c r="AI46" s="353"/>
      <c r="AJ46" s="145"/>
      <c r="AK46" s="145"/>
      <c r="AL46" s="145"/>
    </row>
    <row r="47" spans="1:38" x14ac:dyDescent="0.3">
      <c r="B47" s="117" t="s">
        <v>25</v>
      </c>
      <c r="U47" s="207"/>
      <c r="V47" s="207"/>
      <c r="W47" s="207"/>
      <c r="X47" s="207"/>
      <c r="Y47" s="207"/>
      <c r="Z47" s="207"/>
      <c r="AA47" s="207"/>
      <c r="AB47" s="207"/>
      <c r="AC47" s="207"/>
      <c r="AF47" s="145"/>
      <c r="AG47" s="145"/>
      <c r="AH47" s="353"/>
      <c r="AI47" s="353"/>
      <c r="AJ47" s="145"/>
      <c r="AK47" s="145"/>
      <c r="AL47" s="145"/>
    </row>
    <row r="48" spans="1:38" x14ac:dyDescent="0.3">
      <c r="B48" s="117" t="s">
        <v>26</v>
      </c>
      <c r="U48" s="207"/>
      <c r="V48" s="207"/>
      <c r="W48" s="207"/>
      <c r="X48" s="207"/>
      <c r="Y48" s="207"/>
      <c r="Z48" s="207"/>
      <c r="AA48" s="207"/>
      <c r="AB48" s="207"/>
      <c r="AC48" s="207"/>
      <c r="AF48" s="145"/>
      <c r="AG48" s="145"/>
      <c r="AH48" s="353"/>
      <c r="AI48" s="353"/>
      <c r="AJ48" s="145"/>
      <c r="AK48" s="145"/>
      <c r="AL48" s="145"/>
    </row>
    <row r="49" spans="1:38" x14ac:dyDescent="0.3">
      <c r="C49" s="117" t="s">
        <v>27</v>
      </c>
      <c r="U49" s="207"/>
      <c r="V49" s="207"/>
      <c r="W49" s="207"/>
      <c r="X49" s="207"/>
      <c r="Y49" s="207"/>
      <c r="Z49" s="207"/>
      <c r="AA49" s="207"/>
      <c r="AB49" s="207"/>
      <c r="AC49" s="207"/>
      <c r="AF49" s="145"/>
      <c r="AG49" s="145"/>
      <c r="AH49" s="353"/>
      <c r="AI49" s="353"/>
      <c r="AJ49" s="145"/>
      <c r="AK49" s="145"/>
      <c r="AL49" s="145"/>
    </row>
    <row r="50" spans="1:38" x14ac:dyDescent="0.3">
      <c r="A50" s="117" t="s">
        <v>711</v>
      </c>
      <c r="U50" s="207"/>
      <c r="V50" s="207"/>
      <c r="W50" s="207"/>
      <c r="X50" s="207"/>
      <c r="Y50" s="207"/>
      <c r="Z50" s="207"/>
      <c r="AA50" s="207"/>
      <c r="AB50" s="207"/>
      <c r="AC50" s="207"/>
      <c r="AF50" s="145"/>
      <c r="AG50" s="145"/>
      <c r="AH50" s="353"/>
      <c r="AI50" s="353"/>
      <c r="AJ50" s="145"/>
      <c r="AK50" s="145"/>
      <c r="AL50" s="145"/>
    </row>
    <row r="51" spans="1:38" x14ac:dyDescent="0.3">
      <c r="B51" s="117" t="s">
        <v>30</v>
      </c>
      <c r="E51" s="117" t="s">
        <v>31</v>
      </c>
      <c r="H51" s="117" t="s">
        <v>29</v>
      </c>
      <c r="K51" s="117" t="s">
        <v>34</v>
      </c>
      <c r="N51" s="117" t="s">
        <v>35</v>
      </c>
      <c r="U51" s="207"/>
      <c r="V51" s="207"/>
      <c r="W51" s="207"/>
      <c r="X51" s="207"/>
      <c r="Y51" s="207"/>
      <c r="Z51" s="207"/>
      <c r="AA51" s="207"/>
      <c r="AB51" s="207"/>
      <c r="AC51" s="207"/>
      <c r="AF51" s="145"/>
      <c r="AG51" s="145"/>
      <c r="AH51" s="145"/>
      <c r="AI51" s="145"/>
      <c r="AJ51" s="145"/>
      <c r="AK51" s="145"/>
      <c r="AL51" s="145"/>
    </row>
    <row r="52" spans="1:38" x14ac:dyDescent="0.3">
      <c r="E52" s="117" t="s">
        <v>32</v>
      </c>
      <c r="K52" s="117" t="s">
        <v>33</v>
      </c>
      <c r="N52" s="117" t="s">
        <v>36</v>
      </c>
      <c r="P52" s="117" t="s">
        <v>1056</v>
      </c>
      <c r="R52" s="117" t="s">
        <v>872</v>
      </c>
      <c r="S52" s="117" t="s">
        <v>873</v>
      </c>
    </row>
    <row r="53" spans="1:38" x14ac:dyDescent="0.3">
      <c r="A53" s="117" t="s">
        <v>28</v>
      </c>
      <c r="B53" s="117">
        <v>0.68</v>
      </c>
      <c r="E53" s="117">
        <v>0.79610000000000003</v>
      </c>
      <c r="H53" s="117">
        <v>0.69</v>
      </c>
      <c r="K53" s="117">
        <v>0.54</v>
      </c>
      <c r="N53" s="117">
        <v>1E-3</v>
      </c>
      <c r="R53" s="117">
        <f>AVERAGE(B53, E53, H53, K53)</f>
        <v>0.67652500000000004</v>
      </c>
    </row>
    <row r="54" spans="1:38" x14ac:dyDescent="0.3">
      <c r="A54" s="117" t="s">
        <v>9</v>
      </c>
      <c r="B54" s="117">
        <v>0.2</v>
      </c>
      <c r="E54" s="117">
        <v>0.12</v>
      </c>
      <c r="H54" s="117">
        <v>0.15</v>
      </c>
      <c r="K54" s="117">
        <v>0.122</v>
      </c>
      <c r="N54" s="117">
        <v>2.9000000000000001E-2</v>
      </c>
      <c r="R54" s="178">
        <f t="shared" ref="R54:R59" si="3">AVERAGE(B54, E54, H54, K54)</f>
        <v>0.14799999999999999</v>
      </c>
      <c r="S54" s="117">
        <f>R53+0.5*R54</f>
        <v>0.750525</v>
      </c>
    </row>
    <row r="55" spans="1:38" x14ac:dyDescent="0.3">
      <c r="A55" s="117" t="s">
        <v>8</v>
      </c>
      <c r="B55" s="117">
        <v>5.6000000000000001E-2</v>
      </c>
      <c r="E55" s="117">
        <v>2.81E-2</v>
      </c>
      <c r="H55" s="117">
        <v>3.2000000000000001E-2</v>
      </c>
      <c r="K55" s="117">
        <v>0.12</v>
      </c>
      <c r="N55" s="117">
        <v>0.45100000000000001</v>
      </c>
      <c r="R55" s="178">
        <f t="shared" si="3"/>
        <v>5.9025000000000001E-2</v>
      </c>
      <c r="S55" s="117">
        <f>0.5*R54+R55</f>
        <v>0.133025</v>
      </c>
      <c r="T55" s="117" t="s">
        <v>736</v>
      </c>
    </row>
    <row r="56" spans="1:38" x14ac:dyDescent="0.3">
      <c r="A56" s="117" t="s">
        <v>7</v>
      </c>
      <c r="B56" s="117">
        <v>0.03</v>
      </c>
      <c r="E56" s="117">
        <v>1.7999999999999999E-2</v>
      </c>
      <c r="H56" s="117">
        <v>3.2000000000000001E-2</v>
      </c>
      <c r="K56" s="117">
        <v>0.08</v>
      </c>
      <c r="N56" s="117">
        <v>1.008</v>
      </c>
      <c r="R56" s="178">
        <f t="shared" si="3"/>
        <v>0.04</v>
      </c>
      <c r="T56" s="117">
        <f>N56*K56/$K$65</f>
        <v>0.36990825688073392</v>
      </c>
    </row>
    <row r="57" spans="1:38" x14ac:dyDescent="0.3">
      <c r="A57" s="117" t="s">
        <v>6</v>
      </c>
      <c r="B57" s="117">
        <v>1.7999999999999999E-2</v>
      </c>
      <c r="E57" s="117">
        <v>1.0999999999999999E-2</v>
      </c>
      <c r="H57" s="117">
        <v>3.2000000000000001E-2</v>
      </c>
      <c r="K57" s="117">
        <v>0.03</v>
      </c>
      <c r="N57" s="117">
        <v>2.5529999999999999</v>
      </c>
      <c r="R57" s="178">
        <f t="shared" si="3"/>
        <v>2.2749999999999999E-2</v>
      </c>
      <c r="S57" s="117">
        <f>R56+R57+0.5*R58</f>
        <v>7.2999999999999995E-2</v>
      </c>
      <c r="T57" s="165">
        <f t="shared" ref="T57:T59" si="4">N57*K57/$K$65</f>
        <v>0.35133027522935772</v>
      </c>
    </row>
    <row r="58" spans="1:38" x14ac:dyDescent="0.3">
      <c r="A58" s="117" t="s">
        <v>5</v>
      </c>
      <c r="B58" s="117">
        <v>0.01</v>
      </c>
      <c r="E58" s="117">
        <v>1.0999999999999999E-2</v>
      </c>
      <c r="H58" s="117">
        <v>3.2000000000000001E-2</v>
      </c>
      <c r="K58" s="117">
        <v>2.9000000000000001E-2</v>
      </c>
      <c r="N58" s="117">
        <v>5.6909999999999998</v>
      </c>
      <c r="R58" s="178">
        <f t="shared" si="3"/>
        <v>2.0500000000000001E-2</v>
      </c>
      <c r="T58" s="165">
        <f t="shared" si="4"/>
        <v>0.75705963302752277</v>
      </c>
    </row>
    <row r="59" spans="1:38" x14ac:dyDescent="0.3">
      <c r="A59" s="117" t="s">
        <v>4</v>
      </c>
      <c r="B59" s="117">
        <v>6.0000000000000001E-3</v>
      </c>
      <c r="E59" s="117">
        <v>1.5800000000000002E-2</v>
      </c>
      <c r="H59" s="117">
        <v>3.2000000000000001E-2</v>
      </c>
      <c r="K59" s="117">
        <v>7.9000000000000001E-2</v>
      </c>
      <c r="N59" s="117">
        <v>9.5969999999999995</v>
      </c>
      <c r="P59" s="117">
        <f>B59*0.03+E59*0.24+H59*0.5+K59*0.23</f>
        <v>3.8142000000000002E-2</v>
      </c>
      <c r="R59" s="178">
        <f t="shared" si="3"/>
        <v>3.32E-2</v>
      </c>
      <c r="S59" s="117">
        <f>R59+0.5*R58</f>
        <v>4.3450000000000003E-2</v>
      </c>
      <c r="T59" s="165">
        <f t="shared" si="4"/>
        <v>3.4778119266055039</v>
      </c>
    </row>
    <row r="60" spans="1:38" x14ac:dyDescent="0.3">
      <c r="R60" s="117">
        <f>P59*0.0026</f>
        <v>9.9169199999999999E-5</v>
      </c>
    </row>
    <row r="61" spans="1:38" x14ac:dyDescent="0.3">
      <c r="A61" s="252" t="s">
        <v>1058</v>
      </c>
      <c r="B61" s="117">
        <f t="shared" ref="B61:E61" si="5">SUM(B55:B58)</f>
        <v>0.11399999999999999</v>
      </c>
      <c r="E61" s="117">
        <f t="shared" si="5"/>
        <v>6.8099999999999994E-2</v>
      </c>
      <c r="H61" s="117">
        <f>SUM(H55:H58)</f>
        <v>0.128</v>
      </c>
      <c r="K61" s="117">
        <f t="shared" ref="K61" si="6">SUM(K55:K58)</f>
        <v>0.25900000000000001</v>
      </c>
      <c r="S61" s="117" t="s">
        <v>74</v>
      </c>
      <c r="T61" s="117">
        <f>SUM(T56:T59)</f>
        <v>4.9561100917431187</v>
      </c>
    </row>
    <row r="62" spans="1:38" x14ac:dyDescent="0.3">
      <c r="A62" s="252" t="s">
        <v>1059</v>
      </c>
      <c r="B62" s="117">
        <f t="shared" ref="B62:E62" si="7">SUM(B53:B59)</f>
        <v>1.0000000000000002</v>
      </c>
      <c r="E62" s="117">
        <f t="shared" si="7"/>
        <v>1</v>
      </c>
      <c r="H62" s="117">
        <f>SUM(H53:H59)</f>
        <v>1</v>
      </c>
      <c r="K62" s="117">
        <f t="shared" ref="K62" si="8">SUM(K53:K59)</f>
        <v>1</v>
      </c>
    </row>
    <row r="63" spans="1:38" s="165" customFormat="1" x14ac:dyDescent="0.3">
      <c r="A63" s="165" t="s">
        <v>735</v>
      </c>
      <c r="B63" s="165">
        <f>B58+B59</f>
        <v>1.6E-2</v>
      </c>
      <c r="E63" s="165">
        <f t="shared" ref="E63:K63" si="9">E58+E59</f>
        <v>2.6800000000000001E-2</v>
      </c>
      <c r="H63" s="165">
        <f t="shared" si="9"/>
        <v>6.4000000000000001E-2</v>
      </c>
      <c r="K63" s="165">
        <f t="shared" si="9"/>
        <v>0.108</v>
      </c>
    </row>
    <row r="64" spans="1:38" x14ac:dyDescent="0.3">
      <c r="A64" s="117" t="s">
        <v>733</v>
      </c>
      <c r="B64" s="117">
        <f>SUM(B57:B59)</f>
        <v>3.3999999999999996E-2</v>
      </c>
      <c r="C64" s="165"/>
      <c r="D64" s="165"/>
      <c r="E64" s="165">
        <f>SUM(E57:E59)</f>
        <v>3.78E-2</v>
      </c>
      <c r="F64" s="165"/>
      <c r="G64" s="165"/>
      <c r="H64" s="165">
        <f>SUM(H57:H59)</f>
        <v>9.6000000000000002E-2</v>
      </c>
      <c r="I64" s="165"/>
      <c r="J64" s="165"/>
      <c r="K64" s="165">
        <f>SUM(K57:K59)</f>
        <v>0.13800000000000001</v>
      </c>
    </row>
    <row r="65" spans="1:11" s="165" customFormat="1" x14ac:dyDescent="0.3">
      <c r="A65" s="165" t="s">
        <v>734</v>
      </c>
      <c r="B65" s="165">
        <f>SUM(B56:B59)</f>
        <v>6.4000000000000001E-2</v>
      </c>
      <c r="E65" s="165">
        <f>SUM(E56:E59)</f>
        <v>5.5799999999999995E-2</v>
      </c>
      <c r="H65" s="165">
        <f>SUM(H56:H59)</f>
        <v>0.128</v>
      </c>
      <c r="K65" s="165">
        <f>SUM(K56:K59)</f>
        <v>0.21800000000000003</v>
      </c>
    </row>
    <row r="66" spans="1:11" x14ac:dyDescent="0.3">
      <c r="A66" s="117" t="s">
        <v>37</v>
      </c>
    </row>
    <row r="67" spans="1:11" x14ac:dyDescent="0.3">
      <c r="A67" s="117" t="s">
        <v>38</v>
      </c>
    </row>
    <row r="68" spans="1:11" x14ac:dyDescent="0.3">
      <c r="A68" s="117" t="s">
        <v>708</v>
      </c>
    </row>
    <row r="69" spans="1:11" x14ac:dyDescent="0.3">
      <c r="B69" s="117" t="s">
        <v>41</v>
      </c>
    </row>
    <row r="70" spans="1:11" x14ac:dyDescent="0.3">
      <c r="B70" s="117" t="s">
        <v>57</v>
      </c>
    </row>
    <row r="71" spans="1:11" x14ac:dyDescent="0.3">
      <c r="B71" s="117" t="s">
        <v>42</v>
      </c>
      <c r="C71" s="117" t="s">
        <v>43</v>
      </c>
      <c r="D71" s="117" t="s">
        <v>44</v>
      </c>
      <c r="E71" s="117" t="s">
        <v>45</v>
      </c>
    </row>
    <row r="72" spans="1:11" x14ac:dyDescent="0.3">
      <c r="A72" s="117" t="s">
        <v>28</v>
      </c>
      <c r="B72" s="1">
        <f t="shared" ref="B72:B78" si="10">B53*N53*1</f>
        <v>6.8000000000000005E-4</v>
      </c>
      <c r="C72" s="1">
        <f t="shared" ref="C72:C78" si="11">E53*N53</f>
        <v>7.961E-4</v>
      </c>
      <c r="D72" s="1">
        <f t="shared" ref="D72:D78" si="12">H53*N53</f>
        <v>6.8999999999999997E-4</v>
      </c>
      <c r="E72" s="1">
        <f t="shared" ref="E72:E78" si="13">K53*N53</f>
        <v>5.4000000000000001E-4</v>
      </c>
    </row>
    <row r="73" spans="1:11" x14ac:dyDescent="0.3">
      <c r="A73" s="117" t="s">
        <v>9</v>
      </c>
      <c r="B73" s="1">
        <f t="shared" si="10"/>
        <v>5.8000000000000005E-3</v>
      </c>
      <c r="C73" s="1">
        <f t="shared" si="11"/>
        <v>3.48E-3</v>
      </c>
      <c r="D73" s="1">
        <f t="shared" si="12"/>
        <v>4.3499999999999997E-3</v>
      </c>
      <c r="E73" s="1">
        <f t="shared" si="13"/>
        <v>3.5379999999999999E-3</v>
      </c>
    </row>
    <row r="74" spans="1:11" x14ac:dyDescent="0.3">
      <c r="A74" s="117" t="s">
        <v>8</v>
      </c>
      <c r="B74" s="1">
        <f t="shared" si="10"/>
        <v>2.5256000000000001E-2</v>
      </c>
      <c r="C74" s="1">
        <f t="shared" si="11"/>
        <v>1.26731E-2</v>
      </c>
      <c r="D74" s="1">
        <f t="shared" si="12"/>
        <v>1.4432E-2</v>
      </c>
      <c r="E74" s="1">
        <f t="shared" si="13"/>
        <v>5.4120000000000001E-2</v>
      </c>
    </row>
    <row r="75" spans="1:11" x14ac:dyDescent="0.3">
      <c r="A75" s="117" t="s">
        <v>7</v>
      </c>
      <c r="B75" s="1">
        <f t="shared" si="10"/>
        <v>3.024E-2</v>
      </c>
      <c r="C75" s="1">
        <f t="shared" si="11"/>
        <v>1.8144E-2</v>
      </c>
      <c r="D75" s="1">
        <f t="shared" si="12"/>
        <v>3.2256E-2</v>
      </c>
      <c r="E75" s="1">
        <f t="shared" si="13"/>
        <v>8.0640000000000003E-2</v>
      </c>
    </row>
    <row r="76" spans="1:11" x14ac:dyDescent="0.3">
      <c r="A76" s="117" t="s">
        <v>6</v>
      </c>
      <c r="B76" s="1">
        <f t="shared" si="10"/>
        <v>4.5953999999999995E-2</v>
      </c>
      <c r="C76" s="1">
        <f t="shared" si="11"/>
        <v>2.8082999999999997E-2</v>
      </c>
      <c r="D76" s="1">
        <f t="shared" si="12"/>
        <v>8.1696000000000005E-2</v>
      </c>
      <c r="E76" s="1">
        <f t="shared" si="13"/>
        <v>7.6589999999999991E-2</v>
      </c>
    </row>
    <row r="77" spans="1:11" x14ac:dyDescent="0.3">
      <c r="A77" s="117" t="s">
        <v>5</v>
      </c>
      <c r="B77" s="1">
        <f t="shared" si="10"/>
        <v>5.6910000000000002E-2</v>
      </c>
      <c r="C77" s="1">
        <f t="shared" si="11"/>
        <v>6.260099999999999E-2</v>
      </c>
      <c r="D77" s="1">
        <f t="shared" si="12"/>
        <v>0.182112</v>
      </c>
      <c r="E77" s="1">
        <f t="shared" si="13"/>
        <v>0.16503899999999999</v>
      </c>
    </row>
    <row r="78" spans="1:11" x14ac:dyDescent="0.3">
      <c r="A78" s="8" t="s">
        <v>4</v>
      </c>
      <c r="B78" s="9">
        <f t="shared" si="10"/>
        <v>5.7582000000000001E-2</v>
      </c>
      <c r="C78" s="9">
        <f t="shared" si="11"/>
        <v>0.15163260000000001</v>
      </c>
      <c r="D78" s="9">
        <f t="shared" si="12"/>
        <v>0.30710399999999999</v>
      </c>
      <c r="E78" s="9">
        <f t="shared" si="13"/>
        <v>0.75816299999999992</v>
      </c>
    </row>
    <row r="79" spans="1:11" x14ac:dyDescent="0.3">
      <c r="A79" s="10" t="s">
        <v>112</v>
      </c>
      <c r="B79" s="11">
        <v>0.03</v>
      </c>
      <c r="C79" s="11">
        <v>0.24</v>
      </c>
      <c r="D79" s="11">
        <v>0.5</v>
      </c>
      <c r="E79" s="11">
        <v>0.23</v>
      </c>
      <c r="F79" s="1">
        <f>SUM(B79:E79)</f>
        <v>1</v>
      </c>
    </row>
    <row r="80" spans="1:11" x14ac:dyDescent="0.3">
      <c r="A80" s="117" t="s">
        <v>46</v>
      </c>
      <c r="B80" s="1">
        <f>SUM(B72:B78)</f>
        <v>0.22242199999999998</v>
      </c>
      <c r="C80" s="1">
        <f>SUM(C72:C78)</f>
        <v>0.27740979999999998</v>
      </c>
      <c r="D80" s="1">
        <f>SUM(D72:D78)</f>
        <v>0.62263999999999997</v>
      </c>
      <c r="E80" s="1">
        <f>SUM(E72:E78)</f>
        <v>1.13863</v>
      </c>
      <c r="G80" s="117" t="s">
        <v>116</v>
      </c>
      <c r="K80" s="117" t="s">
        <v>569</v>
      </c>
    </row>
    <row r="81" spans="1:12" x14ac:dyDescent="0.3">
      <c r="A81" s="117" t="s">
        <v>47</v>
      </c>
      <c r="B81" s="1">
        <f>B80*10</f>
        <v>2.2242199999999999</v>
      </c>
      <c r="C81" s="1">
        <f t="shared" ref="C81:E81" si="14">C80*10</f>
        <v>2.774098</v>
      </c>
      <c r="D81" s="1">
        <f t="shared" si="14"/>
        <v>6.2263999999999999</v>
      </c>
      <c r="E81" s="1">
        <f t="shared" si="14"/>
        <v>11.3863</v>
      </c>
      <c r="F81" s="1"/>
      <c r="G81" s="158">
        <f>B81*D86+C81*D84+D81*D85+E81*D83</f>
        <v>6.4645591199999997</v>
      </c>
      <c r="H81" s="117" t="s">
        <v>54</v>
      </c>
      <c r="L81" s="1">
        <f>G81*0.002</f>
        <v>1.2929118239999999E-2</v>
      </c>
    </row>
    <row r="82" spans="1:12" x14ac:dyDescent="0.3">
      <c r="G82" s="117" t="s">
        <v>571</v>
      </c>
    </row>
    <row r="83" spans="1:12" x14ac:dyDescent="0.3">
      <c r="A83" s="117" t="s">
        <v>49</v>
      </c>
      <c r="D83" s="156">
        <v>0.23</v>
      </c>
    </row>
    <row r="84" spans="1:12" x14ac:dyDescent="0.3">
      <c r="A84" s="117" t="s">
        <v>48</v>
      </c>
      <c r="D84" s="156">
        <v>0.24</v>
      </c>
    </row>
    <row r="85" spans="1:12" x14ac:dyDescent="0.3">
      <c r="A85" s="117" t="s">
        <v>51</v>
      </c>
      <c r="D85" s="156">
        <v>0.5</v>
      </c>
    </row>
    <row r="86" spans="1:12" x14ac:dyDescent="0.3">
      <c r="A86" s="117" t="s">
        <v>50</v>
      </c>
      <c r="D86" s="156">
        <v>0.03</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63"/>
  <sheetViews>
    <sheetView workbookViewId="0">
      <selection activeCell="N45" sqref="N45"/>
    </sheetView>
  </sheetViews>
  <sheetFormatPr defaultRowHeight="14.4" x14ac:dyDescent="0.3"/>
  <cols>
    <col min="1" max="1" width="13" customWidth="1"/>
    <col min="2" max="2" width="11" customWidth="1"/>
    <col min="3" max="3" width="11.5546875" customWidth="1"/>
    <col min="5" max="5" width="11" customWidth="1"/>
    <col min="6" max="6" width="12.88671875" customWidth="1"/>
    <col min="7" max="7" width="12" customWidth="1"/>
    <col min="9" max="9" width="11.33203125" customWidth="1"/>
    <col min="10" max="10" width="12.109375" customWidth="1"/>
    <col min="11" max="11" width="11.6640625" customWidth="1"/>
    <col min="12" max="12" width="11.33203125" customWidth="1"/>
    <col min="13" max="13" width="9.33203125" bestFit="1" customWidth="1"/>
    <col min="14" max="14" width="12.109375" bestFit="1" customWidth="1"/>
    <col min="15" max="16" width="9.5546875" bestFit="1" customWidth="1"/>
    <col min="17" max="17" width="10.6640625" customWidth="1"/>
  </cols>
  <sheetData>
    <row r="1" spans="1:14" x14ac:dyDescent="0.3">
      <c r="G1" t="s">
        <v>907</v>
      </c>
      <c r="H1">
        <v>0.94169384000000012</v>
      </c>
    </row>
    <row r="2" spans="1:14" x14ac:dyDescent="0.3">
      <c r="A2" t="s">
        <v>724</v>
      </c>
      <c r="G2" t="s">
        <v>9</v>
      </c>
      <c r="H2">
        <v>2.2797999999999999E-2</v>
      </c>
    </row>
    <row r="3" spans="1:14" x14ac:dyDescent="0.3">
      <c r="G3" t="s">
        <v>8</v>
      </c>
      <c r="H3">
        <v>1.8770999999999999E-2</v>
      </c>
    </row>
    <row r="4" spans="1:14" x14ac:dyDescent="0.3">
      <c r="G4" t="s">
        <v>7</v>
      </c>
      <c r="H4">
        <v>1.1134000000000002E-2</v>
      </c>
    </row>
    <row r="5" spans="1:14" x14ac:dyDescent="0.3">
      <c r="A5" t="s">
        <v>68</v>
      </c>
      <c r="G5" t="s">
        <v>6</v>
      </c>
      <c r="H5">
        <v>3.4480000000000001E-3</v>
      </c>
    </row>
    <row r="6" spans="1:14" x14ac:dyDescent="0.3">
      <c r="G6" t="s">
        <v>5</v>
      </c>
      <c r="H6">
        <v>1.3695999999999999E-3</v>
      </c>
    </row>
    <row r="7" spans="1:14" x14ac:dyDescent="0.3">
      <c r="G7" t="s">
        <v>4</v>
      </c>
      <c r="H7">
        <v>7.8556000000000003E-4</v>
      </c>
    </row>
    <row r="9" spans="1:14" x14ac:dyDescent="0.3">
      <c r="C9" s="106" t="s">
        <v>69</v>
      </c>
      <c r="D9" s="106"/>
    </row>
    <row r="11" spans="1:14" x14ac:dyDescent="0.3">
      <c r="C11" s="106" t="s">
        <v>70</v>
      </c>
      <c r="F11" t="s">
        <v>71</v>
      </c>
      <c r="H11" t="s">
        <v>72</v>
      </c>
    </row>
    <row r="12" spans="1:14" x14ac:dyDescent="0.3">
      <c r="F12" t="s">
        <v>905</v>
      </c>
      <c r="H12">
        <v>1</v>
      </c>
      <c r="I12">
        <v>2</v>
      </c>
      <c r="J12">
        <v>3</v>
      </c>
      <c r="K12">
        <v>6</v>
      </c>
      <c r="L12">
        <v>9</v>
      </c>
      <c r="M12" s="2"/>
      <c r="N12" s="2" t="s">
        <v>74</v>
      </c>
    </row>
    <row r="13" spans="1:14" x14ac:dyDescent="0.3">
      <c r="F13" t="s">
        <v>73</v>
      </c>
      <c r="H13">
        <v>0.8</v>
      </c>
      <c r="I13">
        <v>0.18</v>
      </c>
      <c r="J13">
        <v>1.89E-2</v>
      </c>
      <c r="K13">
        <v>1E-3</v>
      </c>
      <c r="L13">
        <v>1E-4</v>
      </c>
      <c r="N13">
        <f>SUM(H13:M13)</f>
        <v>1</v>
      </c>
    </row>
    <row r="14" spans="1:14" x14ac:dyDescent="0.3">
      <c r="E14" t="s">
        <v>75</v>
      </c>
    </row>
    <row r="15" spans="1:14" x14ac:dyDescent="0.3">
      <c r="E15" t="s">
        <v>76</v>
      </c>
    </row>
    <row r="16" spans="1:14" x14ac:dyDescent="0.3">
      <c r="L16" t="s">
        <v>110</v>
      </c>
    </row>
    <row r="19" spans="1:17" x14ac:dyDescent="0.3">
      <c r="A19" t="s">
        <v>21</v>
      </c>
    </row>
    <row r="20" spans="1:17" x14ac:dyDescent="0.3">
      <c r="I20" t="s">
        <v>98</v>
      </c>
    </row>
    <row r="21" spans="1:17" x14ac:dyDescent="0.3">
      <c r="E21" s="106" t="s">
        <v>26</v>
      </c>
    </row>
    <row r="22" spans="1:17" x14ac:dyDescent="0.3">
      <c r="E22" t="s">
        <v>27</v>
      </c>
    </row>
    <row r="23" spans="1:17" x14ac:dyDescent="0.3">
      <c r="Q23" t="s">
        <v>595</v>
      </c>
    </row>
    <row r="24" spans="1:17" x14ac:dyDescent="0.3">
      <c r="E24" s="106" t="s">
        <v>70</v>
      </c>
      <c r="H24" t="s">
        <v>83</v>
      </c>
      <c r="J24" t="s">
        <v>106</v>
      </c>
      <c r="L24" t="s">
        <v>101</v>
      </c>
      <c r="Q24" t="s">
        <v>597</v>
      </c>
    </row>
    <row r="25" spans="1:17" x14ac:dyDescent="0.3">
      <c r="E25" s="106" t="s">
        <v>77</v>
      </c>
      <c r="F25" t="s">
        <v>82</v>
      </c>
      <c r="H25" t="s">
        <v>84</v>
      </c>
      <c r="J25" t="s">
        <v>92</v>
      </c>
      <c r="L25" t="s">
        <v>99</v>
      </c>
      <c r="M25" t="s">
        <v>100</v>
      </c>
      <c r="N25" t="s">
        <v>102</v>
      </c>
      <c r="O25" t="s">
        <v>103</v>
      </c>
      <c r="P25" t="s">
        <v>104</v>
      </c>
      <c r="Q25" t="s">
        <v>596</v>
      </c>
    </row>
    <row r="26" spans="1:17" x14ac:dyDescent="0.3">
      <c r="E26" s="106" t="s">
        <v>79</v>
      </c>
      <c r="F26">
        <v>1</v>
      </c>
      <c r="H26" t="s">
        <v>105</v>
      </c>
      <c r="J26">
        <v>0.1</v>
      </c>
      <c r="L26" s="108">
        <f>0.1*1^2*3.142</f>
        <v>0.31420000000000003</v>
      </c>
      <c r="M26" s="108">
        <f>0.1*(2^2)*3.142</f>
        <v>1.2568000000000001</v>
      </c>
      <c r="N26" s="108">
        <f>0.1*3^2*3.142</f>
        <v>2.8277999999999999</v>
      </c>
      <c r="O26" s="108">
        <f>0.1*6^2*3.142</f>
        <v>11.311199999999999</v>
      </c>
      <c r="P26" s="108">
        <f>0.1*9^2*3.142</f>
        <v>25.450199999999999</v>
      </c>
      <c r="Q26" s="108">
        <f>$H$13*L26+$I$13*M26+$J$13*N26+$K$13*O26+$L$13*P26</f>
        <v>0.54488563999999995</v>
      </c>
    </row>
    <row r="27" spans="1:17" x14ac:dyDescent="0.3">
      <c r="B27" s="3"/>
      <c r="C27" s="3"/>
      <c r="D27" s="3"/>
      <c r="E27" s="3" t="s">
        <v>80</v>
      </c>
      <c r="F27">
        <v>2</v>
      </c>
      <c r="H27" s="3" t="s">
        <v>91</v>
      </c>
      <c r="J27">
        <v>1</v>
      </c>
      <c r="L27" s="108">
        <f>1*1^2*3.142</f>
        <v>3.1419999999999999</v>
      </c>
      <c r="M27" s="108">
        <f>1*2^2*3.142</f>
        <v>12.568</v>
      </c>
      <c r="N27" s="108">
        <f>1*3^2*3.142</f>
        <v>28.277999999999999</v>
      </c>
      <c r="O27" s="108">
        <f>1*6^2*3.142</f>
        <v>113.11199999999999</v>
      </c>
      <c r="P27" s="108">
        <f>1*9^2*3.142</f>
        <v>254.50199999999998</v>
      </c>
      <c r="Q27" s="108">
        <f t="shared" ref="Q27:Q31" si="0">$H$13*L27+$I$13*M27+$J$13*N27+$K$13*O27+$L$13*P27</f>
        <v>5.4488564000000004</v>
      </c>
    </row>
    <row r="28" spans="1:17" x14ac:dyDescent="0.3">
      <c r="B28" s="4"/>
      <c r="C28" s="4"/>
      <c r="D28" s="4"/>
      <c r="E28" s="4" t="s">
        <v>78</v>
      </c>
      <c r="F28">
        <v>3</v>
      </c>
      <c r="H28" t="s">
        <v>85</v>
      </c>
      <c r="J28">
        <v>10</v>
      </c>
      <c r="L28" s="108">
        <f>10*1^2*3.142</f>
        <v>31.419999999999998</v>
      </c>
      <c r="M28" s="108">
        <f>10*2^2*3.142</f>
        <v>125.67999999999999</v>
      </c>
      <c r="N28" s="108">
        <f>10*3^2*3.142</f>
        <v>282.77999999999997</v>
      </c>
      <c r="O28" s="108">
        <f>10*6^2*3.142</f>
        <v>1131.1199999999999</v>
      </c>
      <c r="P28" s="108">
        <f>10*9^2*3.142</f>
        <v>2545.02</v>
      </c>
      <c r="Q28" s="108">
        <f t="shared" si="0"/>
        <v>54.488563999999997</v>
      </c>
    </row>
    <row r="29" spans="1:17" x14ac:dyDescent="0.3">
      <c r="B29" s="4"/>
      <c r="C29" s="4"/>
      <c r="D29" s="4"/>
      <c r="E29" s="4" t="s">
        <v>81</v>
      </c>
      <c r="F29">
        <v>4</v>
      </c>
      <c r="H29" t="s">
        <v>86</v>
      </c>
      <c r="J29">
        <v>100</v>
      </c>
      <c r="L29" s="108">
        <f>100*1^2*3.142</f>
        <v>314.2</v>
      </c>
      <c r="M29" s="108">
        <f>100*2^2*3.142</f>
        <v>1256.8</v>
      </c>
      <c r="N29" s="108">
        <f>100*3^2*3.142</f>
        <v>2827.7999999999997</v>
      </c>
      <c r="O29" s="108">
        <f>100*6^2*3.142</f>
        <v>11311.199999999999</v>
      </c>
      <c r="P29" s="108">
        <f>100*9^2*3.142</f>
        <v>25450.2</v>
      </c>
      <c r="Q29" s="108">
        <f t="shared" si="0"/>
        <v>544.88563999999997</v>
      </c>
    </row>
    <row r="30" spans="1:17" x14ac:dyDescent="0.3">
      <c r="B30" s="4"/>
      <c r="C30" s="4"/>
      <c r="D30" s="4"/>
      <c r="E30" s="4" t="s">
        <v>89</v>
      </c>
      <c r="F30">
        <v>5</v>
      </c>
      <c r="H30" t="s">
        <v>87</v>
      </c>
      <c r="J30">
        <v>1000</v>
      </c>
      <c r="L30" s="108">
        <f>1000*1^2*3.142</f>
        <v>3142</v>
      </c>
      <c r="M30" s="108">
        <f>1000*2^2*3.142</f>
        <v>12568</v>
      </c>
      <c r="N30" s="108">
        <f>1000*3^2*3.142</f>
        <v>28278</v>
      </c>
      <c r="O30" s="108">
        <f>1000*6^2*3.142</f>
        <v>113112</v>
      </c>
      <c r="P30" s="108">
        <f>1000*9^2*3.142</f>
        <v>254502</v>
      </c>
      <c r="Q30" s="108">
        <f t="shared" si="0"/>
        <v>5448.8564000000006</v>
      </c>
    </row>
    <row r="31" spans="1:17" x14ac:dyDescent="0.3">
      <c r="E31" s="106" t="s">
        <v>90</v>
      </c>
      <c r="F31">
        <v>6</v>
      </c>
      <c r="H31" t="s">
        <v>88</v>
      </c>
      <c r="J31">
        <v>10000</v>
      </c>
      <c r="L31" s="108">
        <f>10000*1^2*3.142</f>
        <v>31420</v>
      </c>
      <c r="M31" s="108">
        <f>10000*2^2*3.142</f>
        <v>125680</v>
      </c>
      <c r="N31" s="108">
        <f>10000*3^2*3.142</f>
        <v>282780</v>
      </c>
      <c r="O31" s="108">
        <f>10000*6^2*3.142</f>
        <v>1131120</v>
      </c>
      <c r="P31" s="108">
        <f>10000*9^2*3.142</f>
        <v>2545020</v>
      </c>
      <c r="Q31" s="108">
        <f t="shared" si="0"/>
        <v>54488.563999999998</v>
      </c>
    </row>
    <row r="34" spans="1:14" x14ac:dyDescent="0.3">
      <c r="A34" s="5" t="s">
        <v>93</v>
      </c>
    </row>
    <row r="35" spans="1:14" x14ac:dyDescent="0.3">
      <c r="B35" s="109" t="s">
        <v>599</v>
      </c>
      <c r="C35" s="109" t="s">
        <v>43</v>
      </c>
      <c r="D35" s="109" t="s">
        <v>44</v>
      </c>
      <c r="E35" s="109" t="s">
        <v>94</v>
      </c>
      <c r="F35" t="s">
        <v>598</v>
      </c>
      <c r="H35" t="s">
        <v>95</v>
      </c>
      <c r="I35" t="s">
        <v>96</v>
      </c>
      <c r="K35" t="s">
        <v>52</v>
      </c>
      <c r="L35" t="s">
        <v>1060</v>
      </c>
    </row>
    <row r="36" spans="1:14" x14ac:dyDescent="0.3">
      <c r="A36" t="s">
        <v>28</v>
      </c>
      <c r="B36">
        <v>0.94889000000000001</v>
      </c>
      <c r="C36">
        <v>0.93296999999999997</v>
      </c>
      <c r="D36">
        <v>0.89400000000000002</v>
      </c>
      <c r="E36">
        <v>0.86899999999999999</v>
      </c>
      <c r="F36">
        <v>1E-3</v>
      </c>
      <c r="H36" s="110">
        <f>$F36*C36</f>
        <v>9.3296999999999998E-4</v>
      </c>
      <c r="I36" s="110">
        <f>$F36*E36</f>
        <v>8.6899999999999998E-4</v>
      </c>
      <c r="K36" s="110">
        <f>F36*($B$46*B36+C36*$C$46+$D$46*D36+$E$46*E36)</f>
        <v>9.0937850000000003E-4</v>
      </c>
    </row>
    <row r="37" spans="1:14" x14ac:dyDescent="0.3">
      <c r="A37" t="s">
        <v>9</v>
      </c>
      <c r="B37">
        <v>2.1999999999999999E-2</v>
      </c>
      <c r="C37">
        <v>2.4E-2</v>
      </c>
      <c r="D37">
        <v>2.8000000000000001E-2</v>
      </c>
      <c r="E37">
        <v>0.03</v>
      </c>
      <c r="F37">
        <v>2.9000000000000001E-2</v>
      </c>
      <c r="H37" s="110">
        <f t="shared" ref="H37:H42" si="1">$F37*C37</f>
        <v>6.96E-4</v>
      </c>
      <c r="I37" s="110">
        <f t="shared" ref="I37:I42" si="2">$F37*E37</f>
        <v>8.7000000000000001E-4</v>
      </c>
      <c r="K37" s="110">
        <f t="shared" ref="K37:K42" si="3">F37*($B$46*B37+C37*$C$46+$D$46*D37+$E$46*E37)</f>
        <v>7.6270000000000005E-4</v>
      </c>
    </row>
    <row r="38" spans="1:14" x14ac:dyDescent="0.3">
      <c r="A38" t="s">
        <v>8</v>
      </c>
      <c r="B38">
        <v>1.7999999999999999E-2</v>
      </c>
      <c r="C38">
        <v>0.02</v>
      </c>
      <c r="D38">
        <v>2.4E-2</v>
      </c>
      <c r="E38">
        <v>2.5000000000000001E-2</v>
      </c>
      <c r="F38">
        <v>0.45100000000000001</v>
      </c>
      <c r="H38" s="110">
        <f t="shared" si="1"/>
        <v>9.0200000000000002E-3</v>
      </c>
      <c r="I38" s="110">
        <f t="shared" si="2"/>
        <v>1.1275E-2</v>
      </c>
      <c r="K38" s="110">
        <f t="shared" si="3"/>
        <v>9.9896499999999992E-3</v>
      </c>
    </row>
    <row r="39" spans="1:14" x14ac:dyDescent="0.3">
      <c r="A39" t="s">
        <v>7</v>
      </c>
      <c r="B39">
        <v>0.01</v>
      </c>
      <c r="C39">
        <v>1.2E-2</v>
      </c>
      <c r="D39">
        <v>0.02</v>
      </c>
      <c r="E39">
        <v>2.1999999999999999E-2</v>
      </c>
      <c r="F39">
        <v>1.008</v>
      </c>
      <c r="H39" s="110">
        <f t="shared" si="1"/>
        <v>1.2096000000000001E-2</v>
      </c>
      <c r="I39" s="110">
        <f t="shared" si="2"/>
        <v>2.2175999999999998E-2</v>
      </c>
      <c r="K39" s="110">
        <f t="shared" si="3"/>
        <v>1.6632000000000001E-2</v>
      </c>
    </row>
    <row r="40" spans="1:14" x14ac:dyDescent="0.3">
      <c r="A40" t="s">
        <v>6</v>
      </c>
      <c r="B40">
        <v>1E-3</v>
      </c>
      <c r="C40">
        <v>0.01</v>
      </c>
      <c r="D40">
        <v>1.6E-2</v>
      </c>
      <c r="E40">
        <v>0.02</v>
      </c>
      <c r="F40">
        <v>2.5529999999999999</v>
      </c>
      <c r="H40" s="110">
        <f t="shared" si="1"/>
        <v>2.5530000000000001E-2</v>
      </c>
      <c r="I40" s="110">
        <f t="shared" si="2"/>
        <v>5.1060000000000001E-2</v>
      </c>
      <c r="K40" s="110">
        <f t="shared" si="3"/>
        <v>3.3189000000000003E-2</v>
      </c>
    </row>
    <row r="41" spans="1:14" x14ac:dyDescent="0.3">
      <c r="A41" t="s">
        <v>5</v>
      </c>
      <c r="B41">
        <v>1E-4</v>
      </c>
      <c r="C41">
        <v>1E-3</v>
      </c>
      <c r="D41">
        <v>1.2E-2</v>
      </c>
      <c r="E41">
        <v>1.7999999999999999E-2</v>
      </c>
      <c r="F41">
        <v>5.6909999999999998</v>
      </c>
      <c r="H41" s="110">
        <f t="shared" si="1"/>
        <v>5.6909999999999999E-3</v>
      </c>
      <c r="I41" s="110">
        <f t="shared" si="2"/>
        <v>0.10243799999999999</v>
      </c>
      <c r="K41" s="110">
        <f t="shared" si="3"/>
        <v>4.4731260000000002E-2</v>
      </c>
      <c r="L41">
        <f>K41/F41</f>
        <v>7.8600000000000007E-3</v>
      </c>
      <c r="M41" t="s">
        <v>55</v>
      </c>
    </row>
    <row r="42" spans="1:14" x14ac:dyDescent="0.3">
      <c r="A42" t="s">
        <v>4</v>
      </c>
      <c r="B42">
        <v>1.0000000000000001E-5</v>
      </c>
      <c r="C42">
        <v>3.0000000000000001E-5</v>
      </c>
      <c r="D42">
        <v>6.0000000000000001E-3</v>
      </c>
      <c r="E42">
        <v>1.6E-2</v>
      </c>
      <c r="F42">
        <v>9.5969999999999995</v>
      </c>
      <c r="H42" s="110">
        <f t="shared" si="1"/>
        <v>2.8791E-4</v>
      </c>
      <c r="I42" s="110">
        <f t="shared" si="2"/>
        <v>0.15355199999999999</v>
      </c>
      <c r="K42" s="110">
        <f t="shared" si="3"/>
        <v>4.6175965499999999E-2</v>
      </c>
      <c r="L42">
        <f>0.0461759655/F42</f>
        <v>4.8114999999999998E-3</v>
      </c>
      <c r="N42">
        <f>(50*0.33)/(365*24)</f>
        <v>1.8835616438356165E-3</v>
      </c>
    </row>
    <row r="44" spans="1:14" x14ac:dyDescent="0.3">
      <c r="A44" t="s">
        <v>600</v>
      </c>
      <c r="B44">
        <f>SUM(B37:B41)</f>
        <v>5.11E-2</v>
      </c>
      <c r="C44">
        <f t="shared" ref="C44:D44" si="4">SUM(C37:C41)</f>
        <v>6.699999999999999E-2</v>
      </c>
      <c r="D44">
        <f t="shared" si="4"/>
        <v>0.1</v>
      </c>
      <c r="E44">
        <f>SUM(E37:E41)</f>
        <v>0.115</v>
      </c>
      <c r="G44" s="1" t="s">
        <v>97</v>
      </c>
      <c r="H44" s="1">
        <f>SUM(H36:H42)</f>
        <v>5.4253880000000004E-2</v>
      </c>
      <c r="I44" s="1">
        <f>SUM(I36:I42)</f>
        <v>0.34223999999999999</v>
      </c>
      <c r="J44" s="1"/>
      <c r="K44" s="1">
        <f t="shared" ref="K44" si="5">SUM(K36:K42)</f>
        <v>0.15238995399999999</v>
      </c>
      <c r="L44" s="1"/>
      <c r="M44" s="1"/>
    </row>
    <row r="45" spans="1:14" x14ac:dyDescent="0.3">
      <c r="A45" t="s">
        <v>74</v>
      </c>
      <c r="B45">
        <f t="shared" ref="B45:E45" si="6">SUM(B36:B42)</f>
        <v>1</v>
      </c>
      <c r="C45">
        <f t="shared" si="6"/>
        <v>1</v>
      </c>
      <c r="D45">
        <f t="shared" si="6"/>
        <v>1</v>
      </c>
      <c r="E45">
        <f t="shared" si="6"/>
        <v>1</v>
      </c>
      <c r="I45">
        <f>0.054/0.152</f>
        <v>0.35526315789473684</v>
      </c>
    </row>
    <row r="46" spans="1:14" x14ac:dyDescent="0.3">
      <c r="A46" t="s">
        <v>112</v>
      </c>
      <c r="B46">
        <v>0.1</v>
      </c>
      <c r="C46">
        <v>0.35</v>
      </c>
      <c r="D46">
        <v>0.4</v>
      </c>
      <c r="E46">
        <v>0.15</v>
      </c>
    </row>
    <row r="49" spans="1:16" x14ac:dyDescent="0.3">
      <c r="A49" t="s">
        <v>108</v>
      </c>
      <c r="H49">
        <f>6*Q31</f>
        <v>326931.38399999996</v>
      </c>
      <c r="J49" t="s">
        <v>107</v>
      </c>
      <c r="K49">
        <f>1*Q26</f>
        <v>0.54488563999999995</v>
      </c>
      <c r="M49" t="s">
        <v>111</v>
      </c>
    </row>
    <row r="50" spans="1:16" x14ac:dyDescent="0.3">
      <c r="A50" t="s">
        <v>113</v>
      </c>
      <c r="B50">
        <v>6</v>
      </c>
      <c r="C50">
        <v>5</v>
      </c>
      <c r="D50">
        <v>4</v>
      </c>
      <c r="E50">
        <v>4</v>
      </c>
      <c r="F50">
        <v>3</v>
      </c>
      <c r="G50">
        <v>2</v>
      </c>
      <c r="H50">
        <v>1</v>
      </c>
    </row>
    <row r="51" spans="1:16" x14ac:dyDescent="0.3">
      <c r="A51" t="s">
        <v>114</v>
      </c>
      <c r="B51">
        <v>55000</v>
      </c>
      <c r="C51">
        <v>5500</v>
      </c>
      <c r="D51">
        <v>550</v>
      </c>
      <c r="E51">
        <v>55</v>
      </c>
      <c r="F51">
        <v>55</v>
      </c>
      <c r="G51">
        <v>5.5</v>
      </c>
      <c r="H51">
        <v>0.5</v>
      </c>
    </row>
    <row r="53" spans="1:16" x14ac:dyDescent="0.3">
      <c r="A53" t="s">
        <v>28</v>
      </c>
      <c r="B53" s="1">
        <f>($B$50*$B$51)*K36</f>
        <v>300.09490499999998</v>
      </c>
      <c r="C53" s="1">
        <f>($C$50*$C$51)*K36</f>
        <v>25.007908750000002</v>
      </c>
      <c r="D53" s="1">
        <f>($D$50*$D$51)*K36</f>
        <v>2.0006327000000002</v>
      </c>
      <c r="E53" s="1">
        <f>$E$50*$E$51*K36</f>
        <v>0.20006327000000002</v>
      </c>
      <c r="F53" s="1">
        <f>$F$50*$F$51*K36</f>
        <v>0.15004745250000001</v>
      </c>
      <c r="G53" s="1">
        <f>$G$50*$G$51*K36</f>
        <v>1.00031635E-2</v>
      </c>
      <c r="H53">
        <f>$H$50*$H$51*K36</f>
        <v>4.5468925000000001E-4</v>
      </c>
      <c r="J53" s="1"/>
      <c r="K53" s="1"/>
      <c r="L53" s="1"/>
      <c r="N53" s="1"/>
      <c r="O53" s="1"/>
      <c r="P53" s="1"/>
    </row>
    <row r="54" spans="1:16" x14ac:dyDescent="0.3">
      <c r="A54" t="s">
        <v>9</v>
      </c>
      <c r="B54" s="1">
        <f t="shared" ref="B54:B59" si="7">($B$50*$B$51)*K37</f>
        <v>251.69100000000003</v>
      </c>
      <c r="C54" s="1">
        <f t="shared" ref="C54:C59" si="8">($C$50*$C$51)*K37</f>
        <v>20.974250000000001</v>
      </c>
      <c r="D54" s="1">
        <f t="shared" ref="D54:D59" si="9">($D$50*$D$51)*K37</f>
        <v>1.6779400000000002</v>
      </c>
      <c r="E54" s="1">
        <f t="shared" ref="E54:E59" si="10">$E$50*$E$51*K37</f>
        <v>0.167794</v>
      </c>
      <c r="F54" s="1">
        <f t="shared" ref="F54:F59" si="11">$F$50*$F$51*K37</f>
        <v>0.1258455</v>
      </c>
      <c r="G54" s="1">
        <f t="shared" ref="G54:G59" si="12">$G$50*$G$51*K37</f>
        <v>8.3896999999999999E-3</v>
      </c>
      <c r="H54">
        <f t="shared" ref="H54:H59" si="13">$H$50*$H$51*K37</f>
        <v>3.8135000000000003E-4</v>
      </c>
      <c r="J54" s="1"/>
      <c r="K54" s="1"/>
      <c r="L54" s="1"/>
      <c r="N54" s="1"/>
      <c r="O54" s="1"/>
      <c r="P54" s="1"/>
    </row>
    <row r="55" spans="1:16" x14ac:dyDescent="0.3">
      <c r="A55" t="s">
        <v>8</v>
      </c>
      <c r="B55" s="1">
        <f t="shared" si="7"/>
        <v>3296.5844999999999</v>
      </c>
      <c r="C55" s="1">
        <f t="shared" si="8"/>
        <v>274.71537499999999</v>
      </c>
      <c r="D55" s="1">
        <f t="shared" si="9"/>
        <v>21.977229999999999</v>
      </c>
      <c r="E55" s="1">
        <f t="shared" si="10"/>
        <v>2.1977229999999999</v>
      </c>
      <c r="F55" s="1">
        <f t="shared" si="11"/>
        <v>1.6482922499999999</v>
      </c>
      <c r="G55" s="1">
        <f t="shared" si="12"/>
        <v>0.10988614999999999</v>
      </c>
      <c r="H55">
        <f t="shared" si="13"/>
        <v>4.9948249999999996E-3</v>
      </c>
      <c r="J55" s="1"/>
      <c r="K55" s="1"/>
      <c r="L55" s="1"/>
      <c r="N55" s="1"/>
      <c r="O55" s="1"/>
      <c r="P55" s="1"/>
    </row>
    <row r="56" spans="1:16" x14ac:dyDescent="0.3">
      <c r="A56" t="s">
        <v>7</v>
      </c>
      <c r="B56" s="1">
        <f t="shared" si="7"/>
        <v>5488.56</v>
      </c>
      <c r="C56" s="1">
        <f t="shared" si="8"/>
        <v>457.38000000000005</v>
      </c>
      <c r="D56" s="1">
        <f t="shared" si="9"/>
        <v>36.590400000000002</v>
      </c>
      <c r="E56" s="1">
        <f t="shared" si="10"/>
        <v>3.6590400000000001</v>
      </c>
      <c r="F56" s="1">
        <f t="shared" si="11"/>
        <v>2.7442800000000003</v>
      </c>
      <c r="G56" s="1">
        <f t="shared" si="12"/>
        <v>0.182952</v>
      </c>
      <c r="H56">
        <f t="shared" si="13"/>
        <v>8.3160000000000005E-3</v>
      </c>
      <c r="J56" s="1"/>
      <c r="K56" s="1"/>
      <c r="L56" s="1"/>
      <c r="N56" s="1"/>
      <c r="O56" s="1"/>
      <c r="P56" s="1"/>
    </row>
    <row r="57" spans="1:16" x14ac:dyDescent="0.3">
      <c r="A57" t="s">
        <v>6</v>
      </c>
      <c r="B57" s="1">
        <f t="shared" si="7"/>
        <v>10952.37</v>
      </c>
      <c r="C57" s="1">
        <f t="shared" si="8"/>
        <v>912.6975000000001</v>
      </c>
      <c r="D57" s="1">
        <f t="shared" si="9"/>
        <v>73.015800000000013</v>
      </c>
      <c r="E57" s="1">
        <f t="shared" si="10"/>
        <v>7.3015800000000004</v>
      </c>
      <c r="F57" s="1">
        <f t="shared" si="11"/>
        <v>5.476185000000001</v>
      </c>
      <c r="G57" s="1">
        <f t="shared" si="12"/>
        <v>0.36507900000000004</v>
      </c>
      <c r="H57">
        <f t="shared" si="13"/>
        <v>1.6594500000000002E-2</v>
      </c>
      <c r="J57" s="1"/>
      <c r="K57" s="1"/>
      <c r="L57" s="1"/>
      <c r="N57" s="1"/>
      <c r="O57" s="1"/>
      <c r="P57" s="1"/>
    </row>
    <row r="58" spans="1:16" x14ac:dyDescent="0.3">
      <c r="A58" t="s">
        <v>5</v>
      </c>
      <c r="B58" s="1">
        <f t="shared" si="7"/>
        <v>14761.3158</v>
      </c>
      <c r="C58" s="1">
        <f t="shared" si="8"/>
        <v>1230.1096500000001</v>
      </c>
      <c r="D58" s="1">
        <f t="shared" si="9"/>
        <v>98.408771999999999</v>
      </c>
      <c r="E58" s="1">
        <f t="shared" si="10"/>
        <v>9.8408771999999995</v>
      </c>
      <c r="F58" s="1">
        <f t="shared" si="11"/>
        <v>7.3806579000000001</v>
      </c>
      <c r="G58" s="1">
        <f t="shared" si="12"/>
        <v>0.49204386</v>
      </c>
      <c r="H58">
        <f t="shared" si="13"/>
        <v>2.2365630000000001E-2</v>
      </c>
      <c r="J58" s="1"/>
      <c r="K58" s="1"/>
      <c r="L58" s="1"/>
      <c r="N58" s="1"/>
      <c r="O58" s="1"/>
      <c r="P58" s="1"/>
    </row>
    <row r="59" spans="1:16" x14ac:dyDescent="0.3">
      <c r="A59" t="s">
        <v>4</v>
      </c>
      <c r="B59" s="1">
        <f t="shared" si="7"/>
        <v>15238.068615</v>
      </c>
      <c r="C59" s="1">
        <f t="shared" si="8"/>
        <v>1269.83905125</v>
      </c>
      <c r="D59" s="1">
        <f t="shared" si="9"/>
        <v>101.5871241</v>
      </c>
      <c r="E59" s="1">
        <f t="shared" si="10"/>
        <v>10.15871241</v>
      </c>
      <c r="F59" s="1">
        <f t="shared" si="11"/>
        <v>7.6190343074999998</v>
      </c>
      <c r="G59" s="1">
        <f t="shared" si="12"/>
        <v>0.50793562049999996</v>
      </c>
      <c r="H59">
        <f t="shared" si="13"/>
        <v>2.308798275E-2</v>
      </c>
      <c r="J59" s="1"/>
      <c r="K59" s="1"/>
      <c r="L59" s="1"/>
      <c r="N59" s="1"/>
      <c r="O59" s="1"/>
      <c r="P59" s="1"/>
    </row>
    <row r="60" spans="1:16" x14ac:dyDescent="0.3">
      <c r="B60" s="1"/>
      <c r="C60" s="1"/>
      <c r="D60" s="1"/>
      <c r="E60" s="1"/>
      <c r="F60" s="1"/>
      <c r="G60" s="1"/>
      <c r="J60" s="1"/>
      <c r="K60" s="1"/>
      <c r="L60" s="1"/>
      <c r="N60" s="1"/>
      <c r="O60" s="1"/>
      <c r="P60" s="1"/>
    </row>
    <row r="61" spans="1:16" x14ac:dyDescent="0.3">
      <c r="A61" t="s">
        <v>46</v>
      </c>
      <c r="B61" s="1">
        <f>SUM(B53:B59)</f>
        <v>50288.684819999995</v>
      </c>
      <c r="C61" s="1">
        <f>SUM(C53:C59)</f>
        <v>4190.7237350000005</v>
      </c>
      <c r="D61" s="1">
        <f t="shared" ref="D61:H61" si="14">SUM(D53:D59)</f>
        <v>335.25789880000002</v>
      </c>
      <c r="E61" s="1">
        <f t="shared" si="14"/>
        <v>33.525789879999998</v>
      </c>
      <c r="F61" s="1">
        <f t="shared" si="14"/>
        <v>25.14434241</v>
      </c>
      <c r="G61" s="1">
        <f t="shared" si="14"/>
        <v>1.6762894940000002</v>
      </c>
      <c r="H61" s="1">
        <f t="shared" si="14"/>
        <v>7.6194976999999997E-2</v>
      </c>
      <c r="J61" s="1"/>
      <c r="K61" s="1"/>
      <c r="L61" s="1"/>
      <c r="N61" s="1"/>
      <c r="O61" s="1"/>
      <c r="P61" s="1"/>
    </row>
    <row r="63" spans="1:16" x14ac:dyDescent="0.3">
      <c r="A63" t="s">
        <v>115</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53"/>
  <sheetViews>
    <sheetView workbookViewId="0">
      <selection activeCell="J4" sqref="J4"/>
    </sheetView>
  </sheetViews>
  <sheetFormatPr defaultColWidth="9.109375" defaultRowHeight="14.4" x14ac:dyDescent="0.3"/>
  <cols>
    <col min="1" max="1" width="13.88671875" style="117" customWidth="1"/>
    <col min="2" max="2" width="11" style="117" customWidth="1"/>
    <col min="3" max="3" width="11.5546875" style="117" customWidth="1"/>
    <col min="4" max="4" width="11.109375" style="117" customWidth="1"/>
    <col min="5" max="5" width="16.21875" style="117" customWidth="1"/>
    <col min="6" max="6" width="16.33203125" style="117" customWidth="1"/>
    <col min="7" max="7" width="12" style="117" customWidth="1"/>
    <col min="8" max="8" width="9.109375" style="117"/>
    <col min="9" max="9" width="11.33203125" style="117" customWidth="1"/>
    <col min="10" max="10" width="12.109375" style="117" customWidth="1"/>
    <col min="11" max="11" width="11.6640625" style="117" customWidth="1"/>
    <col min="12" max="12" width="11.33203125" style="117" customWidth="1"/>
    <col min="13" max="13" width="9.33203125" style="117" bestFit="1" customWidth="1"/>
    <col min="14" max="14" width="12.109375" style="66" bestFit="1" customWidth="1"/>
    <col min="15" max="15" width="9.5546875" style="66" bestFit="1" customWidth="1"/>
    <col min="16" max="16" width="9.5546875" style="117" bestFit="1" customWidth="1"/>
    <col min="17" max="17" width="10.6640625" style="117" customWidth="1"/>
    <col min="18" max="16384" width="9.109375" style="117"/>
  </cols>
  <sheetData>
    <row r="1" spans="1:16" x14ac:dyDescent="0.3">
      <c r="A1" s="86" t="s">
        <v>68</v>
      </c>
    </row>
    <row r="2" spans="1:16" x14ac:dyDescent="0.3">
      <c r="A2" s="143" t="s">
        <v>646</v>
      </c>
    </row>
    <row r="3" spans="1:16" x14ac:dyDescent="0.3">
      <c r="A3" s="86"/>
      <c r="B3" s="117" t="s">
        <v>645</v>
      </c>
    </row>
    <row r="4" spans="1:16" x14ac:dyDescent="0.3">
      <c r="A4" s="86"/>
      <c r="B4" s="117" t="s">
        <v>647</v>
      </c>
    </row>
    <row r="5" spans="1:16" x14ac:dyDescent="0.3">
      <c r="A5" s="86"/>
      <c r="B5" s="117" t="s">
        <v>648</v>
      </c>
    </row>
    <row r="6" spans="1:16" x14ac:dyDescent="0.3">
      <c r="A6" s="86"/>
      <c r="B6" s="117" t="s">
        <v>662</v>
      </c>
      <c r="P6" s="108"/>
    </row>
    <row r="7" spans="1:16" x14ac:dyDescent="0.3">
      <c r="A7" s="86"/>
      <c r="B7" s="117" t="s">
        <v>649</v>
      </c>
      <c r="P7" s="108"/>
    </row>
    <row r="8" spans="1:16" x14ac:dyDescent="0.3">
      <c r="H8" s="86" t="s">
        <v>595</v>
      </c>
      <c r="P8" s="108"/>
    </row>
    <row r="9" spans="1:16" x14ac:dyDescent="0.3">
      <c r="A9" s="86" t="s">
        <v>70</v>
      </c>
      <c r="B9" s="86"/>
      <c r="D9" s="86" t="s">
        <v>83</v>
      </c>
      <c r="E9" s="86"/>
      <c r="F9" s="86" t="s">
        <v>106</v>
      </c>
      <c r="G9" s="86"/>
      <c r="H9" s="86" t="s">
        <v>597</v>
      </c>
      <c r="I9" s="86"/>
      <c r="P9" s="108"/>
    </row>
    <row r="10" spans="1:16" x14ac:dyDescent="0.3">
      <c r="A10" s="87" t="s">
        <v>77</v>
      </c>
      <c r="B10" s="87" t="s">
        <v>82</v>
      </c>
      <c r="D10" s="87" t="s">
        <v>84</v>
      </c>
      <c r="E10" s="86"/>
      <c r="F10" s="87" t="s">
        <v>92</v>
      </c>
      <c r="G10" s="86"/>
      <c r="H10" s="132" t="s">
        <v>596</v>
      </c>
      <c r="I10" s="132" t="s">
        <v>639</v>
      </c>
      <c r="P10" s="108"/>
    </row>
    <row r="11" spans="1:16" x14ac:dyDescent="0.3">
      <c r="A11" s="135" t="s">
        <v>79</v>
      </c>
      <c r="B11" s="135">
        <v>1</v>
      </c>
      <c r="D11" s="138" t="s">
        <v>105</v>
      </c>
      <c r="F11" s="135">
        <v>0.1</v>
      </c>
      <c r="H11" s="135">
        <v>0.54488563999999995</v>
      </c>
      <c r="I11" s="135">
        <v>0.5</v>
      </c>
      <c r="P11" s="108"/>
    </row>
    <row r="12" spans="1:16" x14ac:dyDescent="0.3">
      <c r="A12" s="136" t="s">
        <v>80</v>
      </c>
      <c r="B12" s="135">
        <v>2</v>
      </c>
      <c r="D12" s="139" t="s">
        <v>91</v>
      </c>
      <c r="F12" s="135">
        <v>1</v>
      </c>
      <c r="H12" s="140">
        <v>5.4488564000000004</v>
      </c>
      <c r="I12" s="135">
        <v>5.5</v>
      </c>
      <c r="P12" s="108"/>
    </row>
    <row r="13" spans="1:16" x14ac:dyDescent="0.3">
      <c r="A13" s="137" t="s">
        <v>78</v>
      </c>
      <c r="B13" s="135">
        <v>3</v>
      </c>
      <c r="D13" s="138" t="s">
        <v>85</v>
      </c>
      <c r="F13" s="135">
        <v>10</v>
      </c>
      <c r="H13" s="140">
        <v>54.488563999999997</v>
      </c>
      <c r="I13" s="135">
        <v>55</v>
      </c>
      <c r="P13" s="108"/>
    </row>
    <row r="14" spans="1:16" x14ac:dyDescent="0.3">
      <c r="A14" s="137" t="s">
        <v>81</v>
      </c>
      <c r="B14" s="135">
        <v>4</v>
      </c>
      <c r="D14" s="138" t="s">
        <v>86</v>
      </c>
      <c r="F14" s="135">
        <v>100</v>
      </c>
      <c r="H14" s="140">
        <v>544.88563999999997</v>
      </c>
      <c r="I14" s="135">
        <v>550</v>
      </c>
      <c r="P14" s="108"/>
    </row>
    <row r="15" spans="1:16" x14ac:dyDescent="0.3">
      <c r="A15" s="137" t="s">
        <v>89</v>
      </c>
      <c r="B15" s="135">
        <v>5</v>
      </c>
      <c r="D15" s="138" t="s">
        <v>87</v>
      </c>
      <c r="F15" s="135">
        <v>1000</v>
      </c>
      <c r="H15" s="140">
        <v>5448.8564000000006</v>
      </c>
      <c r="I15" s="135">
        <v>5500</v>
      </c>
      <c r="P15" s="108"/>
    </row>
    <row r="16" spans="1:16" x14ac:dyDescent="0.3">
      <c r="A16" s="135" t="s">
        <v>90</v>
      </c>
      <c r="B16" s="135">
        <v>6</v>
      </c>
      <c r="D16" s="138" t="s">
        <v>88</v>
      </c>
      <c r="F16" s="135">
        <v>10000</v>
      </c>
      <c r="H16" s="140">
        <v>54488.563999999998</v>
      </c>
      <c r="I16" s="135">
        <v>55000</v>
      </c>
      <c r="P16" s="108"/>
    </row>
    <row r="17" spans="1:16" x14ac:dyDescent="0.3">
      <c r="P17" s="108"/>
    </row>
    <row r="18" spans="1:16" x14ac:dyDescent="0.3">
      <c r="P18" s="108"/>
    </row>
    <row r="19" spans="1:16" x14ac:dyDescent="0.3">
      <c r="A19" s="5" t="s">
        <v>93</v>
      </c>
      <c r="P19" s="108"/>
    </row>
    <row r="20" spans="1:16" x14ac:dyDescent="0.3">
      <c r="B20" s="142" t="s">
        <v>599</v>
      </c>
      <c r="C20" s="142" t="s">
        <v>43</v>
      </c>
      <c r="D20" s="142" t="s">
        <v>719</v>
      </c>
      <c r="E20" s="142" t="s">
        <v>94</v>
      </c>
      <c r="F20" s="8" t="s">
        <v>598</v>
      </c>
      <c r="G20" s="8" t="s">
        <v>637</v>
      </c>
      <c r="P20" s="108"/>
    </row>
    <row r="21" spans="1:16" x14ac:dyDescent="0.3">
      <c r="A21" s="117" t="s">
        <v>28</v>
      </c>
      <c r="B21" s="117">
        <v>0.94889000000000001</v>
      </c>
      <c r="C21" s="117">
        <v>0.93296999999999997</v>
      </c>
      <c r="D21" s="117">
        <v>0.89400000000000002</v>
      </c>
      <c r="E21" s="117">
        <v>0.86899999999999999</v>
      </c>
      <c r="F21" s="155">
        <v>1E-3</v>
      </c>
      <c r="G21" s="160">
        <f>F21*($B$31*B21+$C$31*C21+$D$31*D21+$E$31*E21)</f>
        <v>9.0937850000000003E-4</v>
      </c>
      <c r="P21" s="108"/>
    </row>
    <row r="22" spans="1:16" x14ac:dyDescent="0.3">
      <c r="A22" s="117" t="s">
        <v>9</v>
      </c>
      <c r="B22" s="117">
        <v>2.1999999999999999E-2</v>
      </c>
      <c r="C22" s="117">
        <v>2.4E-2</v>
      </c>
      <c r="D22" s="117">
        <v>2.8000000000000001E-2</v>
      </c>
      <c r="E22" s="117">
        <v>0.03</v>
      </c>
      <c r="F22" s="155">
        <v>2.9000000000000001E-2</v>
      </c>
      <c r="G22" s="160">
        <f t="shared" ref="G22:G27" si="0">F22*($B$31*B22+$C$31*C22+$D$31*D22+$E$31*E22)</f>
        <v>7.6270000000000005E-4</v>
      </c>
      <c r="P22" s="108"/>
    </row>
    <row r="23" spans="1:16" x14ac:dyDescent="0.3">
      <c r="A23" s="117" t="s">
        <v>8</v>
      </c>
      <c r="B23" s="117">
        <v>1.7999999999999999E-2</v>
      </c>
      <c r="C23" s="117">
        <v>0.02</v>
      </c>
      <c r="D23" s="117">
        <v>2.4E-2</v>
      </c>
      <c r="E23" s="117">
        <v>2.5000000000000001E-2</v>
      </c>
      <c r="F23" s="155">
        <v>0.45100000000000001</v>
      </c>
      <c r="G23" s="160">
        <f t="shared" si="0"/>
        <v>9.9896499999999992E-3</v>
      </c>
      <c r="P23" s="108"/>
    </row>
    <row r="24" spans="1:16" x14ac:dyDescent="0.3">
      <c r="A24" s="117" t="s">
        <v>7</v>
      </c>
      <c r="B24" s="117">
        <v>0.01</v>
      </c>
      <c r="C24" s="117">
        <v>1.2E-2</v>
      </c>
      <c r="D24" s="117">
        <v>0.02</v>
      </c>
      <c r="E24" s="117">
        <v>2.1999999999999999E-2</v>
      </c>
      <c r="F24" s="155">
        <v>1.008</v>
      </c>
      <c r="G24" s="160">
        <f t="shared" si="0"/>
        <v>1.6632000000000001E-2</v>
      </c>
      <c r="P24" s="108"/>
    </row>
    <row r="25" spans="1:16" x14ac:dyDescent="0.3">
      <c r="A25" s="117" t="s">
        <v>6</v>
      </c>
      <c r="B25" s="117">
        <v>1E-3</v>
      </c>
      <c r="C25" s="117">
        <v>0.01</v>
      </c>
      <c r="D25" s="117">
        <v>1.6E-2</v>
      </c>
      <c r="E25" s="117">
        <v>0.02</v>
      </c>
      <c r="F25" s="155">
        <v>2.5529999999999999</v>
      </c>
      <c r="G25" s="160">
        <f t="shared" si="0"/>
        <v>3.3189000000000003E-2</v>
      </c>
      <c r="P25" s="108"/>
    </row>
    <row r="26" spans="1:16" x14ac:dyDescent="0.3">
      <c r="A26" s="117" t="s">
        <v>5</v>
      </c>
      <c r="B26" s="117">
        <v>1E-4</v>
      </c>
      <c r="C26" s="117">
        <v>1E-3</v>
      </c>
      <c r="D26" s="117">
        <v>1.2E-2</v>
      </c>
      <c r="E26" s="117">
        <v>1.7999999999999999E-2</v>
      </c>
      <c r="F26" s="155">
        <v>5.6909999999999998</v>
      </c>
      <c r="G26" s="160">
        <f t="shared" si="0"/>
        <v>4.4731260000000002E-2</v>
      </c>
      <c r="P26" s="108"/>
    </row>
    <row r="27" spans="1:16" x14ac:dyDescent="0.3">
      <c r="A27" s="117" t="s">
        <v>4</v>
      </c>
      <c r="B27" s="117">
        <v>1.0000000000000001E-5</v>
      </c>
      <c r="C27" s="117">
        <v>3.0000000000000001E-5</v>
      </c>
      <c r="D27" s="117">
        <v>6.0000000000000001E-3</v>
      </c>
      <c r="E27" s="117">
        <v>1.6E-2</v>
      </c>
      <c r="F27" s="155">
        <v>9.5969999999999995</v>
      </c>
      <c r="G27" s="160">
        <f t="shared" si="0"/>
        <v>4.6175965499999999E-2</v>
      </c>
    </row>
    <row r="28" spans="1:16" x14ac:dyDescent="0.3">
      <c r="F28" s="159"/>
      <c r="G28" s="141"/>
    </row>
    <row r="29" spans="1:16" x14ac:dyDescent="0.3">
      <c r="A29" s="117" t="s">
        <v>600</v>
      </c>
      <c r="B29" s="117">
        <f>SUM(B22:B26)</f>
        <v>5.11E-2</v>
      </c>
      <c r="C29" s="117">
        <f t="shared" ref="C29:D29" si="1">SUM(C22:C26)</f>
        <v>6.699999999999999E-2</v>
      </c>
      <c r="D29" s="117">
        <f t="shared" si="1"/>
        <v>0.1</v>
      </c>
      <c r="E29" s="117">
        <f>SUM(E22:E26)</f>
        <v>0.115</v>
      </c>
      <c r="F29" s="161" t="s">
        <v>714</v>
      </c>
      <c r="G29" s="160">
        <f>SUM(G21:G27)</f>
        <v>0.15238995399999999</v>
      </c>
      <c r="H29" s="1" t="s">
        <v>713</v>
      </c>
      <c r="I29" s="1"/>
    </row>
    <row r="30" spans="1:16" x14ac:dyDescent="0.3">
      <c r="B30" s="117">
        <f t="shared" ref="B30:E30" si="2">SUM(B21:B27)</f>
        <v>1</v>
      </c>
      <c r="C30" s="117">
        <f t="shared" si="2"/>
        <v>1</v>
      </c>
      <c r="D30" s="117">
        <f t="shared" si="2"/>
        <v>1</v>
      </c>
      <c r="E30" s="117">
        <f t="shared" si="2"/>
        <v>1</v>
      </c>
    </row>
    <row r="31" spans="1:16" x14ac:dyDescent="0.3">
      <c r="A31" s="117" t="s">
        <v>112</v>
      </c>
      <c r="B31" s="133">
        <v>0.1</v>
      </c>
      <c r="C31" s="133">
        <v>0.35</v>
      </c>
      <c r="D31" s="133">
        <v>0.4</v>
      </c>
      <c r="E31" s="133">
        <v>0.15</v>
      </c>
      <c r="F31" s="117" t="s">
        <v>706</v>
      </c>
    </row>
    <row r="34" spans="1:16" x14ac:dyDescent="0.3">
      <c r="A34" s="126" t="s">
        <v>643</v>
      </c>
      <c r="B34" s="126"/>
      <c r="C34" s="126" t="s">
        <v>640</v>
      </c>
      <c r="D34" s="126"/>
      <c r="E34" s="126"/>
    </row>
    <row r="35" spans="1:16" x14ac:dyDescent="0.3">
      <c r="A35" s="126" t="s">
        <v>638</v>
      </c>
      <c r="B35" s="133">
        <v>5</v>
      </c>
    </row>
    <row r="36" spans="1:16" x14ac:dyDescent="0.3">
      <c r="A36" s="126" t="s">
        <v>114</v>
      </c>
      <c r="B36" s="133">
        <v>5500</v>
      </c>
      <c r="F36" s="86"/>
      <c r="G36" s="86"/>
      <c r="H36" s="86"/>
    </row>
    <row r="37" spans="1:16" x14ac:dyDescent="0.3">
      <c r="F37" s="128"/>
      <c r="G37" s="128"/>
      <c r="H37" s="128"/>
    </row>
    <row r="38" spans="1:16" x14ac:dyDescent="0.3">
      <c r="A38" s="117" t="s">
        <v>28</v>
      </c>
      <c r="B38" s="1">
        <f t="shared" ref="B38:B44" si="3">($B$35*$B$36)*G21</f>
        <v>25.007908750000002</v>
      </c>
      <c r="C38" s="1"/>
      <c r="D38" s="1"/>
      <c r="E38" s="1"/>
      <c r="F38" s="1"/>
      <c r="G38" s="1"/>
      <c r="J38" s="1"/>
      <c r="K38" s="1"/>
      <c r="L38" s="1"/>
      <c r="P38" s="1"/>
    </row>
    <row r="39" spans="1:16" x14ac:dyDescent="0.3">
      <c r="A39" s="117" t="s">
        <v>9</v>
      </c>
      <c r="B39" s="1">
        <f t="shared" si="3"/>
        <v>20.974250000000001</v>
      </c>
      <c r="C39" s="1"/>
      <c r="D39" s="1"/>
      <c r="E39" s="1"/>
      <c r="F39" s="1"/>
      <c r="G39" s="1"/>
      <c r="J39" s="1"/>
      <c r="K39" s="1"/>
      <c r="L39" s="1"/>
      <c r="P39" s="1"/>
    </row>
    <row r="40" spans="1:16" x14ac:dyDescent="0.3">
      <c r="A40" s="117" t="s">
        <v>8</v>
      </c>
      <c r="B40" s="1">
        <f t="shared" si="3"/>
        <v>274.71537499999999</v>
      </c>
      <c r="C40" s="1"/>
      <c r="D40" s="1"/>
      <c r="E40" s="1"/>
      <c r="F40" s="1"/>
      <c r="G40" s="1"/>
      <c r="J40" s="1"/>
      <c r="K40" s="1"/>
      <c r="L40" s="1"/>
      <c r="P40" s="1"/>
    </row>
    <row r="41" spans="1:16" x14ac:dyDescent="0.3">
      <c r="A41" s="117" t="s">
        <v>7</v>
      </c>
      <c r="B41" s="1">
        <f t="shared" si="3"/>
        <v>457.38000000000005</v>
      </c>
      <c r="C41" s="1"/>
      <c r="D41" s="1"/>
      <c r="E41" s="1"/>
      <c r="F41" s="1"/>
      <c r="G41" s="1"/>
      <c r="J41" s="1"/>
      <c r="K41" s="1"/>
      <c r="L41" s="1"/>
      <c r="P41" s="1"/>
    </row>
    <row r="42" spans="1:16" x14ac:dyDescent="0.3">
      <c r="A42" s="117" t="s">
        <v>6</v>
      </c>
      <c r="B42" s="1">
        <f t="shared" si="3"/>
        <v>912.6975000000001</v>
      </c>
      <c r="C42" s="1"/>
      <c r="D42" s="1"/>
      <c r="E42" s="1"/>
      <c r="F42" s="1"/>
      <c r="G42" s="1"/>
      <c r="J42" s="1"/>
      <c r="K42" s="1"/>
      <c r="L42" s="1"/>
      <c r="P42" s="1"/>
    </row>
    <row r="43" spans="1:16" x14ac:dyDescent="0.3">
      <c r="A43" s="117" t="s">
        <v>5</v>
      </c>
      <c r="B43" s="1">
        <f t="shared" si="3"/>
        <v>1230.1096500000001</v>
      </c>
      <c r="C43" s="1"/>
      <c r="D43" s="1"/>
      <c r="E43" s="1"/>
      <c r="F43" s="1"/>
      <c r="G43" s="1"/>
      <c r="J43" s="1"/>
      <c r="K43" s="1"/>
      <c r="L43" s="1"/>
      <c r="P43" s="1"/>
    </row>
    <row r="44" spans="1:16" x14ac:dyDescent="0.3">
      <c r="A44" s="117" t="s">
        <v>4</v>
      </c>
      <c r="B44" s="1">
        <f t="shared" si="3"/>
        <v>1269.83905125</v>
      </c>
      <c r="C44" s="1"/>
      <c r="D44" s="86" t="s">
        <v>420</v>
      </c>
      <c r="E44" s="86"/>
      <c r="F44" s="86"/>
      <c r="G44" s="86"/>
      <c r="H44" s="86"/>
      <c r="J44" s="1"/>
      <c r="K44" s="1"/>
      <c r="L44" s="1"/>
      <c r="P44" s="1"/>
    </row>
    <row r="45" spans="1:16" x14ac:dyDescent="0.3">
      <c r="B45" s="1"/>
      <c r="C45" s="1"/>
      <c r="D45" s="87" t="s">
        <v>641</v>
      </c>
      <c r="E45" s="87" t="s">
        <v>632</v>
      </c>
      <c r="F45" s="87" t="s">
        <v>633</v>
      </c>
      <c r="G45" s="128"/>
      <c r="H45" s="128"/>
      <c r="J45" s="1"/>
      <c r="K45" s="1"/>
      <c r="L45" s="1"/>
      <c r="P45" s="1"/>
    </row>
    <row r="46" spans="1:16" x14ac:dyDescent="0.3">
      <c r="A46" s="117" t="s">
        <v>642</v>
      </c>
      <c r="B46" s="134">
        <f>SUM(B38:B44)</f>
        <v>4190.7237350000005</v>
      </c>
      <c r="C46" s="1"/>
      <c r="D46" s="157">
        <v>3300000</v>
      </c>
      <c r="E46" s="157">
        <v>33500000</v>
      </c>
      <c r="F46" s="157">
        <v>335000000</v>
      </c>
      <c r="G46" s="1" t="s">
        <v>705</v>
      </c>
      <c r="H46" s="1"/>
      <c r="J46" s="1"/>
      <c r="K46" s="1"/>
      <c r="L46" s="1"/>
      <c r="P46" s="1"/>
    </row>
    <row r="48" spans="1:16" x14ac:dyDescent="0.3">
      <c r="C48" s="117" t="s">
        <v>644</v>
      </c>
    </row>
    <row r="49" spans="2:7" x14ac:dyDescent="0.3">
      <c r="C49" s="117" t="s">
        <v>707</v>
      </c>
    </row>
    <row r="50" spans="2:7" x14ac:dyDescent="0.3">
      <c r="B50" s="162" t="s">
        <v>718</v>
      </c>
      <c r="C50" s="5" t="s">
        <v>715</v>
      </c>
      <c r="D50" s="5"/>
      <c r="E50" s="5"/>
      <c r="F50" s="5"/>
    </row>
    <row r="51" spans="2:7" x14ac:dyDescent="0.3">
      <c r="C51" s="163" t="s">
        <v>717</v>
      </c>
      <c r="D51" s="116" t="s">
        <v>43</v>
      </c>
      <c r="E51" s="116" t="s">
        <v>719</v>
      </c>
      <c r="F51" s="116" t="s">
        <v>716</v>
      </c>
    </row>
    <row r="52" spans="2:7" x14ac:dyDescent="0.3">
      <c r="C52" s="164">
        <f t="shared" ref="C52:E52" si="4">$B$35*$B$36*B21*$F$21+$B$35*$B$36*B22*$F$22+$B$35*$B$36*B23*$F$23+$B$35*$B$36*B24*$F$24+$B$35*$B$36*B25*$F$25+$B$35*$B$36*B26*$F$26*$B$35*$B$36*B27*$F$27</f>
        <v>655.59572354374984</v>
      </c>
      <c r="D52" s="164">
        <f t="shared" si="4"/>
        <v>2566.6741313124999</v>
      </c>
      <c r="E52" s="164">
        <f t="shared" si="4"/>
        <v>2975892.1901499997</v>
      </c>
      <c r="F52" s="164">
        <f>$B$35*$B$36*E21*$F$21+$B$35*$B$36*E22*$F$22+$B$35*$B$36*E23*$F$23+$B$35*$B$36*E24*$F$24+$B$35*$B$36*E25*$F$25+$B$35*$B$36*E26*$F$26*$B$35*$B$36*E27*$F$27</f>
        <v>11897851.455599997</v>
      </c>
      <c r="G52" s="117" t="s">
        <v>722</v>
      </c>
    </row>
    <row r="53" spans="2:7" x14ac:dyDescent="0.3">
      <c r="C53" s="109" t="s">
        <v>680</v>
      </c>
      <c r="D53" s="109" t="s">
        <v>720</v>
      </c>
      <c r="E53" s="109" t="s">
        <v>721</v>
      </c>
      <c r="F53" s="109" t="s">
        <v>681</v>
      </c>
      <c r="G53" s="103" t="s">
        <v>723</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00A3-58AA-4959-8F88-2F78D22C41BA}">
  <dimension ref="A1:AF55"/>
  <sheetViews>
    <sheetView topLeftCell="A31" workbookViewId="0">
      <selection activeCell="K34" sqref="K34"/>
    </sheetView>
  </sheetViews>
  <sheetFormatPr defaultColWidth="9.109375" defaultRowHeight="14.4" x14ac:dyDescent="0.3"/>
  <cols>
    <col min="1" max="1" width="13.88671875" style="178" customWidth="1"/>
    <col min="2" max="2" width="14.5546875" style="178" customWidth="1"/>
    <col min="3" max="3" width="11.5546875" style="178" customWidth="1"/>
    <col min="4" max="4" width="11.109375" style="178" customWidth="1"/>
    <col min="5" max="5" width="16.21875" style="178" customWidth="1"/>
    <col min="6" max="6" width="16.33203125" style="178" customWidth="1"/>
    <col min="7" max="7" width="12" style="178" customWidth="1"/>
    <col min="8" max="8" width="13.5546875" style="178" customWidth="1"/>
    <col min="9" max="9" width="11.33203125" style="178" customWidth="1"/>
    <col min="10" max="10" width="12.109375" style="178" customWidth="1"/>
    <col min="11" max="11" width="35.77734375" style="178" customWidth="1"/>
    <col min="12" max="12" width="11.33203125" style="178" customWidth="1"/>
    <col min="13" max="13" width="9.33203125" style="178" bestFit="1" customWidth="1"/>
    <col min="14" max="14" width="12.109375" style="66" bestFit="1" customWidth="1"/>
    <col min="15" max="15" width="9.5546875" style="66" bestFit="1" customWidth="1"/>
    <col min="16" max="16" width="9.5546875" style="178" bestFit="1" customWidth="1"/>
    <col min="17" max="17" width="10.6640625" style="178" customWidth="1"/>
    <col min="18" max="16384" width="9.109375" style="178"/>
  </cols>
  <sheetData>
    <row r="1" spans="1:32" x14ac:dyDescent="0.3">
      <c r="A1" s="86" t="s">
        <v>68</v>
      </c>
    </row>
    <row r="2" spans="1:32" x14ac:dyDescent="0.3">
      <c r="A2" s="143" t="s">
        <v>646</v>
      </c>
    </row>
    <row r="3" spans="1:32" x14ac:dyDescent="0.3">
      <c r="A3" s="86"/>
      <c r="B3" s="178" t="s">
        <v>645</v>
      </c>
    </row>
    <row r="4" spans="1:32" x14ac:dyDescent="0.3">
      <c r="A4" s="86"/>
      <c r="B4" s="178" t="s">
        <v>647</v>
      </c>
      <c r="L4" s="78"/>
      <c r="M4" s="78"/>
      <c r="N4" s="354"/>
      <c r="O4" s="354"/>
      <c r="P4" s="78"/>
      <c r="Q4" s="78"/>
      <c r="R4" s="78"/>
      <c r="S4" s="78"/>
      <c r="T4" s="78"/>
      <c r="U4" s="78"/>
      <c r="V4" s="78"/>
      <c r="W4" s="78"/>
      <c r="X4" s="78"/>
      <c r="Y4" s="78"/>
      <c r="Z4" s="78"/>
      <c r="AA4" s="78"/>
      <c r="AB4" s="78"/>
      <c r="AC4" s="78"/>
      <c r="AD4" s="78"/>
      <c r="AE4" s="78"/>
      <c r="AF4" s="78"/>
    </row>
    <row r="5" spans="1:32" x14ac:dyDescent="0.3">
      <c r="A5" s="86"/>
      <c r="B5" s="178" t="s">
        <v>648</v>
      </c>
      <c r="L5" s="78"/>
      <c r="M5" s="78"/>
      <c r="N5" s="354"/>
      <c r="O5" s="354"/>
      <c r="P5" s="78"/>
      <c r="Q5" s="78"/>
      <c r="R5" s="78"/>
      <c r="S5" s="78"/>
      <c r="T5" s="78"/>
      <c r="U5" s="78"/>
      <c r="V5" s="78"/>
      <c r="W5" s="78"/>
      <c r="X5" s="78"/>
      <c r="Y5" s="78"/>
      <c r="Z5" s="78"/>
      <c r="AA5" s="78"/>
      <c r="AB5" s="78"/>
      <c r="AC5" s="78"/>
      <c r="AD5" s="78"/>
      <c r="AE5" s="78"/>
      <c r="AF5" s="78"/>
    </row>
    <row r="6" spans="1:32" x14ac:dyDescent="0.3">
      <c r="A6" s="86"/>
      <c r="B6" s="178" t="s">
        <v>662</v>
      </c>
      <c r="L6" s="78"/>
      <c r="M6" s="78"/>
      <c r="N6" s="354"/>
      <c r="O6" s="354"/>
      <c r="P6" s="355"/>
      <c r="Q6" s="78"/>
      <c r="R6" s="78"/>
      <c r="S6" s="78"/>
      <c r="T6" s="78"/>
      <c r="U6" s="78"/>
      <c r="V6" s="78"/>
      <c r="W6" s="78"/>
      <c r="X6" s="78"/>
      <c r="Y6" s="78"/>
      <c r="Z6" s="78"/>
      <c r="AA6" s="78"/>
      <c r="AB6" s="78"/>
      <c r="AC6" s="78"/>
      <c r="AD6" s="78"/>
      <c r="AE6" s="78"/>
      <c r="AF6" s="78"/>
    </row>
    <row r="7" spans="1:32" x14ac:dyDescent="0.3">
      <c r="A7" s="86"/>
      <c r="B7" s="178" t="s">
        <v>649</v>
      </c>
      <c r="L7" s="78"/>
      <c r="M7" s="78"/>
      <c r="N7" s="354"/>
      <c r="O7" s="354"/>
      <c r="P7" s="355"/>
      <c r="Q7" s="78"/>
      <c r="R7" s="78"/>
      <c r="S7" s="78"/>
      <c r="T7" s="78"/>
      <c r="U7" s="78"/>
      <c r="V7" s="78"/>
      <c r="W7" s="78"/>
      <c r="X7" s="78"/>
      <c r="Y7" s="78"/>
      <c r="Z7" s="78"/>
      <c r="AA7" s="78"/>
      <c r="AB7" s="78"/>
      <c r="AC7" s="78"/>
      <c r="AD7" s="78"/>
      <c r="AE7" s="78"/>
      <c r="AF7" s="78"/>
    </row>
    <row r="8" spans="1:32" x14ac:dyDescent="0.3">
      <c r="H8" s="86" t="s">
        <v>595</v>
      </c>
      <c r="L8" s="78"/>
      <c r="M8" s="78"/>
      <c r="N8" s="354"/>
      <c r="O8" s="354"/>
      <c r="P8" s="355"/>
      <c r="Q8" s="78"/>
      <c r="R8" s="78"/>
      <c r="S8" s="78"/>
      <c r="T8" s="78"/>
      <c r="U8" s="78"/>
      <c r="V8" s="78"/>
      <c r="W8" s="78"/>
      <c r="X8" s="78"/>
      <c r="Y8" s="78"/>
      <c r="Z8" s="78"/>
      <c r="AA8" s="78"/>
      <c r="AB8" s="78"/>
      <c r="AC8" s="78"/>
      <c r="AD8" s="78"/>
      <c r="AE8" s="78"/>
      <c r="AF8" s="78"/>
    </row>
    <row r="9" spans="1:32" x14ac:dyDescent="0.3">
      <c r="A9" s="86" t="s">
        <v>70</v>
      </c>
      <c r="B9" s="86"/>
      <c r="D9" s="86" t="s">
        <v>83</v>
      </c>
      <c r="E9" s="86"/>
      <c r="F9" s="86" t="s">
        <v>106</v>
      </c>
      <c r="G9" s="86"/>
      <c r="H9" s="86" t="s">
        <v>597</v>
      </c>
      <c r="I9" s="86"/>
      <c r="L9" s="78"/>
      <c r="M9" s="78"/>
      <c r="N9" s="354"/>
      <c r="O9" s="354"/>
      <c r="P9" s="355"/>
      <c r="Q9" s="78"/>
      <c r="R9" s="78"/>
      <c r="S9" s="78"/>
      <c r="T9" s="78"/>
      <c r="U9" s="78"/>
      <c r="V9" s="78"/>
      <c r="W9" s="78"/>
      <c r="X9" s="78"/>
      <c r="Y9" s="78"/>
      <c r="Z9" s="78"/>
      <c r="AA9" s="78"/>
      <c r="AB9" s="78"/>
      <c r="AC9" s="78"/>
      <c r="AD9" s="78"/>
      <c r="AE9" s="78"/>
      <c r="AF9" s="78"/>
    </row>
    <row r="10" spans="1:32" x14ac:dyDescent="0.3">
      <c r="A10" s="87" t="s">
        <v>77</v>
      </c>
      <c r="B10" s="87" t="s">
        <v>82</v>
      </c>
      <c r="C10" s="178" t="s">
        <v>1052</v>
      </c>
      <c r="D10" s="87" t="s">
        <v>84</v>
      </c>
      <c r="E10" s="86"/>
      <c r="F10" s="87" t="s">
        <v>92</v>
      </c>
      <c r="G10" s="86"/>
      <c r="H10" s="132" t="s">
        <v>596</v>
      </c>
      <c r="I10" s="132" t="s">
        <v>639</v>
      </c>
      <c r="L10" s="78"/>
      <c r="M10" s="78"/>
      <c r="N10" s="354"/>
      <c r="O10" s="354"/>
      <c r="P10" s="355"/>
      <c r="Q10" s="78"/>
      <c r="R10" s="78"/>
      <c r="S10" s="78"/>
      <c r="T10" s="78"/>
      <c r="U10" s="78"/>
      <c r="V10" s="78"/>
      <c r="W10" s="78"/>
      <c r="X10" s="78"/>
      <c r="Y10" s="78"/>
      <c r="Z10" s="78"/>
      <c r="AA10" s="78"/>
      <c r="AB10" s="78"/>
      <c r="AC10" s="78"/>
      <c r="AD10" s="78"/>
      <c r="AE10" s="78"/>
      <c r="AF10" s="78"/>
    </row>
    <row r="11" spans="1:32" x14ac:dyDescent="0.3">
      <c r="A11" s="135" t="s">
        <v>79</v>
      </c>
      <c r="B11" s="135">
        <v>1</v>
      </c>
      <c r="C11" s="178">
        <v>0.01</v>
      </c>
      <c r="D11" s="138" t="s">
        <v>105</v>
      </c>
      <c r="F11" s="135">
        <v>0.1</v>
      </c>
      <c r="H11" s="135">
        <v>0.54488563999999995</v>
      </c>
      <c r="I11" s="135">
        <v>0.5</v>
      </c>
      <c r="L11" s="78"/>
      <c r="M11" s="78"/>
      <c r="N11" s="354"/>
      <c r="O11" s="354"/>
      <c r="P11" s="355"/>
      <c r="Q11" s="78"/>
      <c r="R11" s="78"/>
      <c r="S11" s="78"/>
      <c r="T11" s="78"/>
      <c r="U11" s="78"/>
      <c r="V11" s="78"/>
      <c r="W11" s="78"/>
      <c r="X11" s="78"/>
      <c r="Y11" s="78"/>
      <c r="Z11" s="78"/>
      <c r="AA11" s="78"/>
      <c r="AB11" s="78"/>
      <c r="AC11" s="78"/>
      <c r="AD11" s="78"/>
      <c r="AE11" s="78"/>
      <c r="AF11" s="78"/>
    </row>
    <row r="12" spans="1:32" x14ac:dyDescent="0.3">
      <c r="A12" s="136" t="s">
        <v>80</v>
      </c>
      <c r="B12" s="135">
        <v>2</v>
      </c>
      <c r="C12" s="178">
        <v>0.67</v>
      </c>
      <c r="D12" s="139" t="s">
        <v>91</v>
      </c>
      <c r="F12" s="135">
        <v>1</v>
      </c>
      <c r="H12" s="140">
        <v>5.4488564000000004</v>
      </c>
      <c r="I12" s="135">
        <v>5.5</v>
      </c>
      <c r="L12" s="78"/>
      <c r="M12" s="78"/>
      <c r="N12" s="354"/>
      <c r="O12" s="354"/>
      <c r="P12" s="355"/>
      <c r="Q12" s="78"/>
      <c r="R12" s="78"/>
      <c r="S12" s="78"/>
      <c r="T12" s="78"/>
      <c r="U12" s="78"/>
      <c r="V12" s="78"/>
      <c r="W12" s="78"/>
      <c r="X12" s="78"/>
      <c r="Y12" s="78"/>
      <c r="Z12" s="78"/>
      <c r="AA12" s="78"/>
      <c r="AB12" s="78"/>
      <c r="AC12" s="78"/>
      <c r="AD12" s="78"/>
      <c r="AE12" s="78"/>
      <c r="AF12" s="78"/>
    </row>
    <row r="13" spans="1:32" x14ac:dyDescent="0.3">
      <c r="A13" s="137" t="s">
        <v>78</v>
      </c>
      <c r="B13" s="135">
        <v>3</v>
      </c>
      <c r="C13" s="178">
        <v>2</v>
      </c>
      <c r="D13" s="138" t="s">
        <v>85</v>
      </c>
      <c r="F13" s="135">
        <v>10</v>
      </c>
      <c r="H13" s="140">
        <v>54.488563999999997</v>
      </c>
      <c r="I13" s="135">
        <v>55</v>
      </c>
      <c r="L13" s="78"/>
      <c r="M13" s="78"/>
      <c r="N13" s="354"/>
      <c r="O13" s="354"/>
      <c r="P13" s="355"/>
      <c r="Q13" s="78"/>
      <c r="R13" s="78"/>
      <c r="S13" s="78"/>
      <c r="T13" s="78"/>
      <c r="U13" s="78"/>
      <c r="V13" s="78"/>
      <c r="W13" s="78"/>
      <c r="X13" s="78"/>
      <c r="Y13" s="78"/>
      <c r="Z13" s="78"/>
      <c r="AA13" s="78"/>
      <c r="AB13" s="78"/>
      <c r="AC13" s="78"/>
      <c r="AD13" s="78"/>
      <c r="AE13" s="78"/>
      <c r="AF13" s="78"/>
    </row>
    <row r="14" spans="1:32" x14ac:dyDescent="0.3">
      <c r="A14" s="137" t="s">
        <v>81</v>
      </c>
      <c r="B14" s="135">
        <v>4</v>
      </c>
      <c r="C14" s="145">
        <v>3.33</v>
      </c>
      <c r="D14" s="138" t="s">
        <v>86</v>
      </c>
      <c r="F14" s="135">
        <v>100</v>
      </c>
      <c r="H14" s="140">
        <v>544.88563999999997</v>
      </c>
      <c r="I14" s="135">
        <v>550</v>
      </c>
      <c r="L14" s="78"/>
      <c r="M14" s="78"/>
      <c r="N14" s="354"/>
      <c r="O14" s="354"/>
      <c r="P14" s="355"/>
      <c r="Q14" s="78"/>
      <c r="R14" s="78"/>
      <c r="S14" s="78"/>
      <c r="T14" s="78"/>
      <c r="U14" s="78"/>
      <c r="V14" s="78"/>
      <c r="W14" s="78"/>
      <c r="X14" s="78"/>
      <c r="Y14" s="78"/>
      <c r="Z14" s="78"/>
      <c r="AA14" s="78"/>
      <c r="AB14" s="78"/>
      <c r="AC14" s="78"/>
      <c r="AD14" s="78"/>
      <c r="AE14" s="78"/>
      <c r="AF14" s="78"/>
    </row>
    <row r="15" spans="1:32" x14ac:dyDescent="0.3">
      <c r="A15" s="137" t="s">
        <v>89</v>
      </c>
      <c r="B15" s="135">
        <v>5</v>
      </c>
      <c r="C15" s="145">
        <v>4.67</v>
      </c>
      <c r="D15" s="138" t="s">
        <v>87</v>
      </c>
      <c r="F15" s="135">
        <v>1000</v>
      </c>
      <c r="H15" s="140">
        <v>5448.8564000000006</v>
      </c>
      <c r="I15" s="135">
        <v>5500</v>
      </c>
      <c r="L15" s="78"/>
      <c r="M15" s="78"/>
      <c r="N15" s="354"/>
      <c r="O15" s="354"/>
      <c r="P15" s="355"/>
      <c r="Q15" s="78"/>
      <c r="R15" s="78"/>
      <c r="S15" s="78"/>
      <c r="T15" s="78"/>
      <c r="U15" s="78"/>
      <c r="V15" s="78"/>
      <c r="W15" s="78"/>
      <c r="X15" s="78"/>
      <c r="Y15" s="78"/>
      <c r="Z15" s="78"/>
      <c r="AA15" s="78"/>
      <c r="AB15" s="78"/>
      <c r="AC15" s="78"/>
      <c r="AD15" s="78"/>
      <c r="AE15" s="78"/>
      <c r="AF15" s="78"/>
    </row>
    <row r="16" spans="1:32" x14ac:dyDescent="0.3">
      <c r="A16" s="135" t="s">
        <v>90</v>
      </c>
      <c r="B16" s="135">
        <v>6</v>
      </c>
      <c r="C16" s="145">
        <v>6</v>
      </c>
      <c r="D16" s="138" t="s">
        <v>88</v>
      </c>
      <c r="F16" s="135">
        <v>10000</v>
      </c>
      <c r="H16" s="140">
        <v>54488.563999999998</v>
      </c>
      <c r="I16" s="135">
        <v>55000</v>
      </c>
      <c r="L16" s="78"/>
      <c r="M16" s="78"/>
      <c r="N16" s="354"/>
      <c r="O16" s="354"/>
      <c r="P16" s="355"/>
      <c r="Q16" s="78"/>
      <c r="R16" s="78"/>
      <c r="S16" s="78"/>
      <c r="T16" s="78"/>
      <c r="U16" s="78"/>
      <c r="V16" s="78"/>
      <c r="W16" s="78"/>
      <c r="X16" s="78"/>
      <c r="Y16" s="78"/>
      <c r="Z16" s="78"/>
      <c r="AA16" s="78"/>
      <c r="AB16" s="78"/>
      <c r="AC16" s="78"/>
      <c r="AD16" s="78"/>
      <c r="AE16" s="78"/>
      <c r="AF16" s="78"/>
    </row>
    <row r="17" spans="1:32" x14ac:dyDescent="0.3">
      <c r="C17" s="145"/>
      <c r="L17" s="78"/>
      <c r="M17" s="78"/>
      <c r="N17" s="354"/>
      <c r="O17" s="354"/>
      <c r="P17" s="355"/>
      <c r="Q17" s="78"/>
      <c r="R17" s="78"/>
      <c r="S17" s="78"/>
      <c r="T17" s="78"/>
      <c r="U17" s="78"/>
      <c r="V17" s="78"/>
      <c r="W17" s="78"/>
      <c r="X17" s="78"/>
      <c r="Y17" s="78"/>
      <c r="Z17" s="78"/>
      <c r="AA17" s="78"/>
      <c r="AB17" s="78"/>
      <c r="AC17" s="78"/>
      <c r="AD17" s="78"/>
      <c r="AE17" s="78"/>
      <c r="AF17" s="78"/>
    </row>
    <row r="18" spans="1:32" x14ac:dyDescent="0.3">
      <c r="L18" s="78"/>
      <c r="M18" s="78"/>
      <c r="N18" s="354"/>
      <c r="O18" s="354"/>
      <c r="P18" s="355"/>
      <c r="Q18" s="78"/>
      <c r="R18" s="78"/>
      <c r="S18" s="78"/>
      <c r="T18" s="78"/>
      <c r="U18" s="78"/>
      <c r="V18" s="78"/>
      <c r="W18" s="78"/>
      <c r="X18" s="78"/>
      <c r="Y18" s="78"/>
      <c r="Z18" s="78"/>
      <c r="AA18" s="78"/>
      <c r="AB18" s="78"/>
      <c r="AC18" s="78"/>
      <c r="AD18" s="78"/>
      <c r="AE18" s="78"/>
      <c r="AF18" s="78"/>
    </row>
    <row r="19" spans="1:32" x14ac:dyDescent="0.3">
      <c r="A19" s="5" t="s">
        <v>93</v>
      </c>
      <c r="L19" s="78"/>
      <c r="M19" s="78"/>
      <c r="N19" s="354"/>
      <c r="O19" s="354"/>
      <c r="P19" s="355"/>
      <c r="Q19" s="78"/>
      <c r="R19" s="78"/>
      <c r="S19" s="78"/>
      <c r="T19" s="78"/>
      <c r="U19" s="78"/>
      <c r="V19" s="78"/>
      <c r="W19" s="78"/>
      <c r="X19" s="78"/>
      <c r="Y19" s="78"/>
      <c r="Z19" s="78"/>
      <c r="AA19" s="78"/>
      <c r="AB19" s="78"/>
      <c r="AC19" s="78"/>
      <c r="AD19" s="78"/>
      <c r="AE19" s="78"/>
      <c r="AF19" s="78"/>
    </row>
    <row r="20" spans="1:32" x14ac:dyDescent="0.3">
      <c r="B20" s="142" t="s">
        <v>599</v>
      </c>
      <c r="C20" s="142" t="s">
        <v>43</v>
      </c>
      <c r="D20" s="142" t="s">
        <v>719</v>
      </c>
      <c r="E20" s="142" t="s">
        <v>94</v>
      </c>
      <c r="F20" s="8" t="s">
        <v>598</v>
      </c>
      <c r="G20" s="8" t="s">
        <v>637</v>
      </c>
      <c r="H20" s="211" t="s">
        <v>906</v>
      </c>
      <c r="I20" s="211" t="s">
        <v>908</v>
      </c>
      <c r="L20" s="78"/>
      <c r="M20" s="78"/>
      <c r="N20" s="354"/>
      <c r="O20" s="354"/>
      <c r="P20" s="355"/>
      <c r="Q20" s="78"/>
      <c r="R20" s="78"/>
      <c r="S20" s="78"/>
      <c r="T20" s="78"/>
      <c r="U20" s="78"/>
      <c r="V20" s="78"/>
      <c r="W20" s="78"/>
      <c r="X20" s="78"/>
      <c r="Y20" s="78"/>
      <c r="Z20" s="78"/>
      <c r="AA20" s="78"/>
      <c r="AB20" s="78"/>
      <c r="AC20" s="78"/>
      <c r="AD20" s="78"/>
      <c r="AE20" s="78"/>
      <c r="AF20" s="78"/>
    </row>
    <row r="21" spans="1:32" x14ac:dyDescent="0.3">
      <c r="A21" s="178" t="s">
        <v>28</v>
      </c>
      <c r="B21" s="178">
        <v>0.94889000000000001</v>
      </c>
      <c r="C21" s="178">
        <v>0.93296999999999997</v>
      </c>
      <c r="D21" s="178">
        <v>0.89400000000000002</v>
      </c>
      <c r="E21" s="178">
        <v>0.86899999999999999</v>
      </c>
      <c r="F21" s="178">
        <v>1E-3</v>
      </c>
      <c r="G21" s="160">
        <f>F21*($B$31*B21+$C$31*C21+$D$31*D21+$E$31*E21)</f>
        <v>9.4169384000000018E-4</v>
      </c>
      <c r="H21" s="178" t="s">
        <v>907</v>
      </c>
      <c r="I21" s="178">
        <f>$B$31*B21+$C$31*C21+$D$31*D21+$E$31*E21</f>
        <v>0.94169384000000012</v>
      </c>
      <c r="J21" s="178">
        <f>1/I21</f>
        <v>1.061916259322669</v>
      </c>
      <c r="K21" s="178" t="s">
        <v>879</v>
      </c>
      <c r="L21" s="78"/>
      <c r="M21" s="78"/>
      <c r="N21" s="354"/>
      <c r="O21" s="354"/>
      <c r="P21" s="355"/>
      <c r="Q21" s="78"/>
      <c r="R21" s="78"/>
      <c r="S21" s="78"/>
      <c r="T21" s="78"/>
      <c r="U21" s="78"/>
      <c r="V21" s="78"/>
      <c r="W21" s="78"/>
      <c r="X21" s="78"/>
      <c r="Y21" s="78"/>
      <c r="Z21" s="78"/>
      <c r="AA21" s="78"/>
      <c r="AB21" s="78"/>
      <c r="AC21" s="78"/>
      <c r="AD21" s="78"/>
      <c r="AE21" s="78"/>
      <c r="AF21" s="78"/>
    </row>
    <row r="22" spans="1:32" x14ac:dyDescent="0.3">
      <c r="A22" s="178" t="s">
        <v>9</v>
      </c>
      <c r="B22" s="178">
        <v>2.1999999999999999E-2</v>
      </c>
      <c r="C22" s="178">
        <v>2.4E-2</v>
      </c>
      <c r="D22" s="178">
        <v>2.8000000000000001E-2</v>
      </c>
      <c r="E22" s="178">
        <v>0.03</v>
      </c>
      <c r="F22" s="178">
        <v>2.9000000000000001E-2</v>
      </c>
      <c r="G22" s="160">
        <f t="shared" ref="G22:G27" si="0">F22*($B$31*B22+$C$31*C22+$D$31*D22+$E$31*E22)</f>
        <v>6.6114199999999998E-4</v>
      </c>
      <c r="H22" s="178" t="s">
        <v>9</v>
      </c>
      <c r="I22" s="178">
        <f t="shared" ref="I22:I27" si="1">$B$31*B22+$C$31*C22+$D$31*D22+$E$31*E22</f>
        <v>2.2797999999999999E-2</v>
      </c>
      <c r="J22" s="178">
        <f t="shared" ref="J22:J27" si="2">1/I22</f>
        <v>43.863496797964736</v>
      </c>
      <c r="K22" s="252" t="s">
        <v>878</v>
      </c>
      <c r="L22" s="78"/>
      <c r="M22" s="78"/>
      <c r="N22" s="354"/>
      <c r="O22" s="354"/>
      <c r="P22" s="355"/>
      <c r="Q22" s="78"/>
      <c r="R22" s="78"/>
      <c r="S22" s="78"/>
      <c r="T22" s="78"/>
      <c r="U22" s="78"/>
      <c r="V22" s="78"/>
      <c r="W22" s="78"/>
      <c r="X22" s="78"/>
      <c r="Y22" s="78"/>
      <c r="Z22" s="78"/>
      <c r="AA22" s="78"/>
      <c r="AB22" s="78"/>
      <c r="AC22" s="78"/>
      <c r="AD22" s="78"/>
      <c r="AE22" s="78"/>
      <c r="AF22" s="78"/>
    </row>
    <row r="23" spans="1:32" x14ac:dyDescent="0.3">
      <c r="A23" s="178" t="s">
        <v>8</v>
      </c>
      <c r="B23" s="178">
        <v>1.7999999999999999E-2</v>
      </c>
      <c r="C23" s="178">
        <v>0.02</v>
      </c>
      <c r="D23" s="178">
        <v>2.4E-2</v>
      </c>
      <c r="E23" s="178">
        <v>2.5000000000000001E-2</v>
      </c>
      <c r="F23" s="178">
        <v>0.45100000000000001</v>
      </c>
      <c r="G23" s="160">
        <f t="shared" si="0"/>
        <v>8.4657210000000007E-3</v>
      </c>
      <c r="H23" s="178" t="s">
        <v>8</v>
      </c>
      <c r="I23" s="178">
        <f t="shared" si="1"/>
        <v>1.8770999999999999E-2</v>
      </c>
      <c r="J23" s="178">
        <f t="shared" si="2"/>
        <v>53.27366682648767</v>
      </c>
      <c r="K23" s="178" t="s">
        <v>878</v>
      </c>
      <c r="L23" s="78"/>
      <c r="M23" s="78"/>
      <c r="N23" s="354"/>
      <c r="O23" s="354"/>
      <c r="P23" s="355"/>
      <c r="Q23" s="78"/>
      <c r="R23" s="78"/>
      <c r="S23" s="78"/>
      <c r="T23" s="78"/>
      <c r="U23" s="78"/>
      <c r="V23" s="78"/>
      <c r="W23" s="78"/>
      <c r="X23" s="78"/>
      <c r="Y23" s="78"/>
      <c r="Z23" s="78"/>
      <c r="AA23" s="78"/>
      <c r="AB23" s="78"/>
      <c r="AC23" s="78"/>
      <c r="AD23" s="78"/>
      <c r="AE23" s="78"/>
      <c r="AF23" s="78"/>
    </row>
    <row r="24" spans="1:32" x14ac:dyDescent="0.3">
      <c r="A24" s="178" t="s">
        <v>7</v>
      </c>
      <c r="B24" s="178">
        <v>0.01</v>
      </c>
      <c r="C24" s="178">
        <v>1.2E-2</v>
      </c>
      <c r="D24" s="178">
        <v>0.02</v>
      </c>
      <c r="E24" s="178">
        <v>2.1999999999999999E-2</v>
      </c>
      <c r="F24" s="178">
        <v>1.008</v>
      </c>
      <c r="G24" s="160">
        <f t="shared" si="0"/>
        <v>1.1223072000000002E-2</v>
      </c>
      <c r="H24" s="178" t="s">
        <v>7</v>
      </c>
      <c r="I24" s="178">
        <f t="shared" si="1"/>
        <v>1.1134000000000002E-2</v>
      </c>
      <c r="J24" s="178">
        <f t="shared" si="2"/>
        <v>89.814981138853952</v>
      </c>
      <c r="K24" s="178" t="s">
        <v>880</v>
      </c>
      <c r="L24" s="78"/>
      <c r="M24" s="78"/>
      <c r="N24" s="354"/>
      <c r="O24" s="354"/>
      <c r="P24" s="355"/>
      <c r="Q24" s="78"/>
      <c r="R24" s="78"/>
      <c r="S24" s="78"/>
      <c r="T24" s="78"/>
      <c r="U24" s="78"/>
      <c r="V24" s="78"/>
      <c r="W24" s="78"/>
      <c r="X24" s="78"/>
      <c r="Y24" s="78"/>
      <c r="Z24" s="78"/>
      <c r="AA24" s="78"/>
      <c r="AB24" s="78"/>
      <c r="AC24" s="78"/>
      <c r="AD24" s="78"/>
      <c r="AE24" s="78"/>
      <c r="AF24" s="78"/>
    </row>
    <row r="25" spans="1:32" x14ac:dyDescent="0.3">
      <c r="A25" s="178" t="s">
        <v>6</v>
      </c>
      <c r="B25" s="178">
        <v>1E-3</v>
      </c>
      <c r="C25" s="178">
        <v>0.01</v>
      </c>
      <c r="D25" s="178">
        <v>1.6E-2</v>
      </c>
      <c r="E25" s="178">
        <v>0.02</v>
      </c>
      <c r="F25" s="178">
        <v>2.5529999999999999</v>
      </c>
      <c r="G25" s="160">
        <f t="shared" si="0"/>
        <v>8.8027439999999995E-3</v>
      </c>
      <c r="H25" s="178" t="s">
        <v>6</v>
      </c>
      <c r="I25" s="178">
        <f t="shared" si="1"/>
        <v>3.4480000000000001E-3</v>
      </c>
      <c r="J25" s="178">
        <f t="shared" si="2"/>
        <v>290.02320185614849</v>
      </c>
      <c r="K25" s="178" t="s">
        <v>881</v>
      </c>
      <c r="L25" s="78"/>
      <c r="M25" s="78"/>
      <c r="N25" s="354"/>
      <c r="O25" s="354"/>
      <c r="P25" s="355"/>
      <c r="Q25" s="78"/>
      <c r="R25" s="78"/>
      <c r="S25" s="78"/>
      <c r="T25" s="78"/>
      <c r="U25" s="78"/>
      <c r="V25" s="78"/>
      <c r="W25" s="78"/>
      <c r="X25" s="78"/>
      <c r="Y25" s="78"/>
      <c r="Z25" s="78"/>
      <c r="AA25" s="78"/>
      <c r="AB25" s="78"/>
      <c r="AC25" s="78"/>
      <c r="AD25" s="78"/>
      <c r="AE25" s="78"/>
      <c r="AF25" s="78"/>
    </row>
    <row r="26" spans="1:32" x14ac:dyDescent="0.3">
      <c r="A26" s="178" t="s">
        <v>5</v>
      </c>
      <c r="B26" s="178">
        <v>1E-4</v>
      </c>
      <c r="C26" s="178">
        <v>1E-3</v>
      </c>
      <c r="D26" s="178">
        <v>1.2E-2</v>
      </c>
      <c r="E26" s="178">
        <v>1.7999999999999999E-2</v>
      </c>
      <c r="F26" s="178">
        <v>5.6909999999999998</v>
      </c>
      <c r="G26" s="160">
        <f t="shared" si="0"/>
        <v>7.7943935999999995E-3</v>
      </c>
      <c r="H26" s="178" t="s">
        <v>5</v>
      </c>
      <c r="I26" s="178">
        <f t="shared" si="1"/>
        <v>1.3695999999999999E-3</v>
      </c>
      <c r="J26" s="178">
        <f t="shared" si="2"/>
        <v>730.14018691588785</v>
      </c>
      <c r="K26" s="178" t="s">
        <v>876</v>
      </c>
      <c r="L26" s="78"/>
      <c r="M26" s="78"/>
      <c r="N26" s="354"/>
      <c r="O26" s="354"/>
      <c r="P26" s="355"/>
      <c r="Q26" s="78"/>
      <c r="R26" s="78"/>
      <c r="S26" s="78"/>
      <c r="T26" s="78"/>
      <c r="U26" s="78"/>
      <c r="V26" s="78"/>
      <c r="W26" s="78"/>
      <c r="X26" s="78"/>
      <c r="Y26" s="78"/>
      <c r="Z26" s="78"/>
      <c r="AA26" s="78"/>
      <c r="AB26" s="78"/>
      <c r="AC26" s="78"/>
      <c r="AD26" s="78"/>
      <c r="AE26" s="354"/>
      <c r="AF26" s="78"/>
    </row>
    <row r="27" spans="1:32" x14ac:dyDescent="0.3">
      <c r="A27" s="178" t="s">
        <v>4</v>
      </c>
      <c r="B27" s="178">
        <v>1.0000000000000001E-5</v>
      </c>
      <c r="C27" s="178">
        <v>3.0000000000000001E-5</v>
      </c>
      <c r="D27" s="178">
        <v>6.0000000000000001E-3</v>
      </c>
      <c r="E27" s="178">
        <v>1.6E-2</v>
      </c>
      <c r="F27" s="178">
        <v>9.5969999999999995</v>
      </c>
      <c r="G27" s="160">
        <f t="shared" si="0"/>
        <v>7.5390193199999997E-3</v>
      </c>
      <c r="H27" s="178" t="s">
        <v>4</v>
      </c>
      <c r="I27" s="178">
        <f t="shared" si="1"/>
        <v>7.8556000000000003E-4</v>
      </c>
      <c r="J27" s="178">
        <f t="shared" si="2"/>
        <v>1272.9772391669637</v>
      </c>
      <c r="K27" s="178" t="s">
        <v>877</v>
      </c>
      <c r="L27" s="78"/>
      <c r="M27" s="78"/>
      <c r="N27" s="354"/>
      <c r="O27" s="354"/>
      <c r="P27" s="355"/>
      <c r="Q27" s="78"/>
      <c r="R27" s="78"/>
      <c r="S27" s="78"/>
      <c r="T27" s="78"/>
      <c r="U27" s="78"/>
      <c r="V27" s="78"/>
      <c r="W27" s="78"/>
      <c r="X27" s="78"/>
      <c r="Y27" s="78"/>
      <c r="Z27" s="78"/>
      <c r="AA27" s="78"/>
      <c r="AB27" s="78"/>
      <c r="AC27" s="78"/>
      <c r="AD27" s="78"/>
      <c r="AE27" s="78"/>
      <c r="AF27" s="78"/>
    </row>
    <row r="28" spans="1:32" x14ac:dyDescent="0.3">
      <c r="F28" s="159"/>
      <c r="G28" s="141"/>
      <c r="L28" s="178" t="s">
        <v>1061</v>
      </c>
    </row>
    <row r="29" spans="1:32" x14ac:dyDescent="0.3">
      <c r="A29" s="178" t="s">
        <v>600</v>
      </c>
      <c r="B29" s="178">
        <f>SUM(B22:B26)</f>
        <v>5.11E-2</v>
      </c>
      <c r="C29" s="178">
        <f t="shared" ref="C29:D29" si="3">SUM(C22:C26)</f>
        <v>6.699999999999999E-2</v>
      </c>
      <c r="D29" s="178">
        <f t="shared" si="3"/>
        <v>0.1</v>
      </c>
      <c r="E29" s="178">
        <f>SUM(E22:E26)</f>
        <v>0.115</v>
      </c>
      <c r="F29" s="161" t="s">
        <v>714</v>
      </c>
      <c r="G29" s="160">
        <f>SUM(G21:G27)</f>
        <v>4.5427785759999999E-2</v>
      </c>
      <c r="H29" s="1" t="s">
        <v>713</v>
      </c>
      <c r="I29" s="1"/>
      <c r="L29" s="178">
        <f>21/32</f>
        <v>0.65625</v>
      </c>
      <c r="M29" s="178">
        <v>0.66</v>
      </c>
    </row>
    <row r="30" spans="1:32" x14ac:dyDescent="0.3">
      <c r="B30" s="178">
        <f t="shared" ref="B30:E30" si="4">SUM(B21:B27)</f>
        <v>1</v>
      </c>
      <c r="C30" s="178">
        <f t="shared" si="4"/>
        <v>1</v>
      </c>
      <c r="D30" s="178">
        <f t="shared" si="4"/>
        <v>1</v>
      </c>
      <c r="E30" s="178">
        <f t="shared" si="4"/>
        <v>1</v>
      </c>
      <c r="L30" s="178">
        <f>6/32</f>
        <v>0.1875</v>
      </c>
      <c r="M30" s="178">
        <v>0.19</v>
      </c>
    </row>
    <row r="31" spans="1:32" x14ac:dyDescent="0.3">
      <c r="A31" s="178" t="s">
        <v>112</v>
      </c>
      <c r="B31" s="133">
        <v>0.79600000000000004</v>
      </c>
      <c r="C31" s="133">
        <v>0.12</v>
      </c>
      <c r="D31" s="133">
        <v>5.7000000000000002E-2</v>
      </c>
      <c r="E31" s="133">
        <v>2.7E-2</v>
      </c>
      <c r="F31" s="178" t="s">
        <v>706</v>
      </c>
      <c r="L31" s="178">
        <f>3/32</f>
        <v>9.375E-2</v>
      </c>
      <c r="M31" s="178">
        <v>0.09</v>
      </c>
    </row>
    <row r="32" spans="1:32" x14ac:dyDescent="0.3">
      <c r="E32" s="1">
        <f>SUM(B31:E31)</f>
        <v>1</v>
      </c>
      <c r="F32" s="5" t="s">
        <v>874</v>
      </c>
      <c r="L32" s="178">
        <f>2/32</f>
        <v>6.25E-2</v>
      </c>
      <c r="M32" s="178">
        <v>0.06</v>
      </c>
    </row>
    <row r="34" spans="1:16" x14ac:dyDescent="0.3">
      <c r="A34" s="126" t="s">
        <v>643</v>
      </c>
      <c r="B34" s="126"/>
      <c r="C34" s="126" t="s">
        <v>640</v>
      </c>
      <c r="D34" s="126"/>
      <c r="E34" s="126"/>
    </row>
    <row r="35" spans="1:16" x14ac:dyDescent="0.3">
      <c r="A35" s="126" t="s">
        <v>638</v>
      </c>
      <c r="B35" s="133">
        <v>0.67</v>
      </c>
    </row>
    <row r="36" spans="1:16" x14ac:dyDescent="0.3">
      <c r="A36" s="126" t="s">
        <v>114</v>
      </c>
      <c r="B36" s="133">
        <v>5.5</v>
      </c>
      <c r="F36" s="86"/>
      <c r="G36" s="86"/>
      <c r="H36" s="86"/>
    </row>
    <row r="37" spans="1:16" x14ac:dyDescent="0.3">
      <c r="F37" s="128"/>
      <c r="G37" s="128"/>
      <c r="H37" s="128"/>
    </row>
    <row r="38" spans="1:16" x14ac:dyDescent="0.3">
      <c r="A38" s="178" t="s">
        <v>28</v>
      </c>
      <c r="B38" s="1">
        <f t="shared" ref="B38:B44" si="5">($B$35*$B$36)*G21</f>
        <v>3.4701418004000006E-3</v>
      </c>
      <c r="C38" s="1"/>
      <c r="D38" s="1"/>
      <c r="E38" s="1"/>
      <c r="F38" s="1"/>
      <c r="G38" s="1"/>
      <c r="J38" s="1"/>
      <c r="K38" s="1"/>
      <c r="L38" s="1"/>
      <c r="P38" s="1"/>
    </row>
    <row r="39" spans="1:16" x14ac:dyDescent="0.3">
      <c r="A39" s="178" t="s">
        <v>9</v>
      </c>
      <c r="B39" s="1">
        <f t="shared" si="5"/>
        <v>2.4363082700000001E-3</v>
      </c>
      <c r="C39" s="1"/>
      <c r="D39" s="1"/>
      <c r="E39" s="1"/>
      <c r="F39" s="1"/>
      <c r="G39" s="1"/>
      <c r="J39" s="1"/>
      <c r="K39" s="1"/>
      <c r="L39" s="1"/>
      <c r="P39" s="1"/>
    </row>
    <row r="40" spans="1:16" x14ac:dyDescent="0.3">
      <c r="A40" s="178" t="s">
        <v>8</v>
      </c>
      <c r="B40" s="1">
        <f t="shared" si="5"/>
        <v>3.1196181885000004E-2</v>
      </c>
      <c r="C40" s="1"/>
      <c r="D40" s="1"/>
      <c r="E40" s="1"/>
      <c r="F40" s="1"/>
      <c r="G40" s="1"/>
      <c r="J40" s="1"/>
      <c r="K40" s="1"/>
      <c r="L40" s="1"/>
      <c r="P40" s="1"/>
    </row>
    <row r="41" spans="1:16" x14ac:dyDescent="0.3">
      <c r="A41" s="178" t="s">
        <v>7</v>
      </c>
      <c r="B41" s="1">
        <f t="shared" si="5"/>
        <v>4.1357020320000007E-2</v>
      </c>
      <c r="C41" s="1"/>
      <c r="D41" s="1"/>
      <c r="E41" s="1"/>
      <c r="F41" s="1"/>
      <c r="G41" s="1"/>
      <c r="J41" s="1"/>
      <c r="K41" s="1"/>
      <c r="L41" s="1"/>
      <c r="P41" s="1"/>
    </row>
    <row r="42" spans="1:16" x14ac:dyDescent="0.3">
      <c r="A42" s="178" t="s">
        <v>6</v>
      </c>
      <c r="B42" s="1">
        <f t="shared" si="5"/>
        <v>3.2438111639999996E-2</v>
      </c>
      <c r="C42" s="1"/>
      <c r="D42" s="1"/>
      <c r="E42" s="1"/>
      <c r="F42" s="1"/>
      <c r="G42" s="1"/>
      <c r="J42" s="1"/>
      <c r="K42" s="1"/>
      <c r="L42" s="1"/>
      <c r="P42" s="1"/>
    </row>
    <row r="43" spans="1:16" x14ac:dyDescent="0.3">
      <c r="A43" s="178" t="s">
        <v>5</v>
      </c>
      <c r="B43" s="1">
        <f t="shared" si="5"/>
        <v>2.8722340415999997E-2</v>
      </c>
      <c r="C43" s="1"/>
      <c r="D43" s="1"/>
      <c r="E43" s="1"/>
      <c r="F43" s="1"/>
      <c r="G43" s="1"/>
      <c r="J43" s="1"/>
      <c r="K43" s="1"/>
      <c r="L43" s="1"/>
      <c r="P43" s="1"/>
    </row>
    <row r="44" spans="1:16" x14ac:dyDescent="0.3">
      <c r="A44" s="178" t="s">
        <v>4</v>
      </c>
      <c r="B44" s="1">
        <f t="shared" si="5"/>
        <v>2.7781286194199999E-2</v>
      </c>
      <c r="C44" s="1"/>
      <c r="D44" s="86" t="s">
        <v>420</v>
      </c>
      <c r="E44" s="86"/>
      <c r="F44" s="86"/>
      <c r="G44" s="86"/>
      <c r="H44" s="86"/>
      <c r="J44" s="1"/>
      <c r="K44" s="1"/>
      <c r="L44" s="1"/>
      <c r="P44" s="1"/>
    </row>
    <row r="45" spans="1:16" x14ac:dyDescent="0.3">
      <c r="B45" s="1"/>
      <c r="C45" s="1"/>
      <c r="D45" s="87" t="s">
        <v>641</v>
      </c>
      <c r="E45" s="87" t="s">
        <v>632</v>
      </c>
      <c r="F45" s="87" t="s">
        <v>633</v>
      </c>
      <c r="G45" s="128"/>
      <c r="H45" s="128"/>
      <c r="J45" s="1"/>
      <c r="K45" s="1"/>
      <c r="L45" s="1"/>
      <c r="P45" s="1"/>
    </row>
    <row r="46" spans="1:16" x14ac:dyDescent="0.3">
      <c r="A46" s="178" t="s">
        <v>642</v>
      </c>
      <c r="B46" s="134">
        <f>SUM(B38:B44)</f>
        <v>0.16740139052560002</v>
      </c>
      <c r="C46" s="1"/>
      <c r="D46" s="157">
        <v>3300000</v>
      </c>
      <c r="E46" s="157">
        <v>33500000</v>
      </c>
      <c r="F46" s="157">
        <v>335000000</v>
      </c>
      <c r="G46" s="1" t="s">
        <v>705</v>
      </c>
      <c r="H46" s="1"/>
      <c r="J46" s="1"/>
      <c r="K46" s="1"/>
      <c r="L46" s="1"/>
      <c r="P46" s="1"/>
    </row>
    <row r="47" spans="1:16" x14ac:dyDescent="0.3">
      <c r="B47" s="101">
        <f>B46*1000000</f>
        <v>167401.39052560003</v>
      </c>
    </row>
    <row r="48" spans="1:16" x14ac:dyDescent="0.3">
      <c r="C48" s="178" t="s">
        <v>644</v>
      </c>
    </row>
    <row r="49" spans="2:7" x14ac:dyDescent="0.3">
      <c r="C49" s="178" t="s">
        <v>707</v>
      </c>
    </row>
    <row r="50" spans="2:7" x14ac:dyDescent="0.3">
      <c r="B50" s="162" t="s">
        <v>718</v>
      </c>
      <c r="C50" s="5" t="s">
        <v>715</v>
      </c>
      <c r="D50" s="5"/>
      <c r="E50" s="5"/>
      <c r="F50" s="5"/>
    </row>
    <row r="51" spans="2:7" x14ac:dyDescent="0.3">
      <c r="C51" s="163" t="s">
        <v>717</v>
      </c>
      <c r="D51" s="187" t="s">
        <v>43</v>
      </c>
      <c r="E51" s="187" t="s">
        <v>719</v>
      </c>
      <c r="F51" s="187" t="s">
        <v>716</v>
      </c>
    </row>
    <row r="52" spans="2:7" x14ac:dyDescent="0.3">
      <c r="C52" s="164">
        <f t="shared" ref="C52:E52" si="6">$B$35*$B$36*B21*$F$21+$B$35*$B$36*B22*$F$22+$B$35*$B$36*B23*$F$23+$B$35*$B$36*B24*$F$24+$B$35*$B$36*B25*$F$25+$B$35*$B$36*B26*$F$26*$B$35*$B$36*B27*$F$27</f>
        <v>8.2315866300108856E-2</v>
      </c>
      <c r="D52" s="164">
        <f t="shared" si="6"/>
        <v>0.17791551395326555</v>
      </c>
      <c r="E52" s="164">
        <f t="shared" si="6"/>
        <v>0.32438633783731335</v>
      </c>
      <c r="F52" s="164">
        <f>$B$35*$B$36*E21*$F$21+$B$35*$B$36*E22*$F$22+$B$35*$B$36*E23*$F$23+$B$35*$B$36*E24*$F$24+$B$35*$B$36*E25*$F$25+$B$35*$B$36*E26*$F$26*$B$35*$B$36*E27*$F$27</f>
        <v>0.53142648134925363</v>
      </c>
      <c r="G52" s="178" t="s">
        <v>722</v>
      </c>
    </row>
    <row r="53" spans="2:7" x14ac:dyDescent="0.3">
      <c r="C53" s="109" t="s">
        <v>680</v>
      </c>
      <c r="D53" s="109" t="s">
        <v>720</v>
      </c>
      <c r="E53" s="109" t="s">
        <v>721</v>
      </c>
      <c r="F53" s="109" t="s">
        <v>681</v>
      </c>
      <c r="G53" s="103" t="s">
        <v>723</v>
      </c>
    </row>
    <row r="54" spans="2:7" x14ac:dyDescent="0.3">
      <c r="B54" s="178" t="s">
        <v>97</v>
      </c>
    </row>
    <row r="55" spans="2:7" x14ac:dyDescent="0.3">
      <c r="B55" s="178">
        <f>SUM(C55:F55)</f>
        <v>0.11971182750243521</v>
      </c>
      <c r="C55" s="178">
        <f>C52*B31</f>
        <v>6.5523429574886646E-2</v>
      </c>
      <c r="D55" s="248">
        <f t="shared" ref="D55:F55" si="7">D52*C31</f>
        <v>2.1349861674391866E-2</v>
      </c>
      <c r="E55" s="248">
        <f t="shared" si="7"/>
        <v>1.8490021256726861E-2</v>
      </c>
      <c r="F55" s="248">
        <f t="shared" si="7"/>
        <v>1.4348514996429848E-2</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AA279"/>
  <sheetViews>
    <sheetView topLeftCell="S79" workbookViewId="0">
      <selection activeCell="Z99" sqref="Z99"/>
    </sheetView>
  </sheetViews>
  <sheetFormatPr defaultRowHeight="14.4" x14ac:dyDescent="0.3"/>
  <cols>
    <col min="1" max="1" width="20" customWidth="1"/>
    <col min="2" max="2" width="17.109375" customWidth="1"/>
    <col min="3" max="3" width="15.88671875" customWidth="1"/>
    <col min="4" max="5" width="18.88671875" customWidth="1"/>
    <col min="6" max="6" width="14.109375" customWidth="1"/>
    <col min="7" max="7" width="12.44140625" customWidth="1"/>
    <col min="8" max="8" width="14.6640625" customWidth="1"/>
    <col min="9" max="10" width="18.6640625" customWidth="1"/>
    <col min="11" max="11" width="14.6640625" customWidth="1"/>
    <col min="12" max="12" width="14.44140625" customWidth="1"/>
    <col min="13" max="13" width="15" customWidth="1"/>
    <col min="14" max="14" width="13.88671875" customWidth="1"/>
    <col min="15" max="15" width="13.44140625" customWidth="1"/>
    <col min="16" max="16" width="13.33203125" customWidth="1"/>
    <col min="17" max="17" width="15.6640625" customWidth="1"/>
    <col min="18" max="18" width="18.109375" customWidth="1"/>
    <col min="20" max="20" width="14.6640625" customWidth="1"/>
    <col min="21" max="22" width="18.6640625" customWidth="1"/>
    <col min="23" max="27" width="25.6640625" customWidth="1"/>
  </cols>
  <sheetData>
    <row r="2" spans="1:26" ht="15" thickBot="1" x14ac:dyDescent="0.35">
      <c r="A2" t="s">
        <v>724</v>
      </c>
    </row>
    <row r="3" spans="1:26" ht="28.2" thickBot="1" x14ac:dyDescent="0.35">
      <c r="W3" s="12" t="s">
        <v>138</v>
      </c>
      <c r="X3" s="13" t="s">
        <v>139</v>
      </c>
      <c r="Y3" s="13" t="s">
        <v>140</v>
      </c>
      <c r="Z3" s="13" t="s">
        <v>141</v>
      </c>
    </row>
    <row r="4" spans="1:26" ht="180" customHeight="1" x14ac:dyDescent="0.3">
      <c r="A4" t="s">
        <v>545</v>
      </c>
      <c r="W4" s="346" t="s">
        <v>142</v>
      </c>
      <c r="X4" s="346" t="s">
        <v>143</v>
      </c>
      <c r="Y4" s="14" t="s">
        <v>144</v>
      </c>
      <c r="Z4" s="346" t="s">
        <v>146</v>
      </c>
    </row>
    <row r="5" spans="1:26" ht="22.5" customHeight="1" thickBot="1" x14ac:dyDescent="0.35">
      <c r="A5" t="s">
        <v>542</v>
      </c>
      <c r="W5" s="347"/>
      <c r="X5" s="348"/>
      <c r="Y5" s="15" t="s">
        <v>145</v>
      </c>
      <c r="Z5" s="348"/>
    </row>
    <row r="6" spans="1:26" ht="30.6" x14ac:dyDescent="0.3">
      <c r="A6" t="s">
        <v>728</v>
      </c>
      <c r="E6" t="s">
        <v>729</v>
      </c>
      <c r="W6" s="347"/>
      <c r="X6" s="346" t="s">
        <v>147</v>
      </c>
      <c r="Y6" s="14" t="s">
        <v>148</v>
      </c>
      <c r="Z6" s="14" t="s">
        <v>150</v>
      </c>
    </row>
    <row r="7" spans="1:26" x14ac:dyDescent="0.3">
      <c r="A7" t="s">
        <v>58</v>
      </c>
      <c r="E7" t="s">
        <v>122</v>
      </c>
      <c r="W7" s="347"/>
      <c r="X7" s="347"/>
      <c r="Y7" s="14" t="s">
        <v>149</v>
      </c>
      <c r="Z7" s="14" t="s">
        <v>151</v>
      </c>
    </row>
    <row r="8" spans="1:26" ht="31.2" thickBot="1" x14ac:dyDescent="0.35">
      <c r="A8" t="s">
        <v>59</v>
      </c>
      <c r="E8" t="s">
        <v>123</v>
      </c>
      <c r="W8" s="347"/>
      <c r="X8" s="348"/>
      <c r="Y8" s="16"/>
      <c r="Z8" s="15" t="s">
        <v>152</v>
      </c>
    </row>
    <row r="9" spans="1:26" ht="51" x14ac:dyDescent="0.3">
      <c r="A9" t="s">
        <v>60</v>
      </c>
      <c r="E9" t="s">
        <v>124</v>
      </c>
      <c r="W9" s="347"/>
      <c r="X9" s="346" t="s">
        <v>153</v>
      </c>
      <c r="Y9" s="14" t="s">
        <v>154</v>
      </c>
      <c r="Z9" s="14" t="s">
        <v>160</v>
      </c>
    </row>
    <row r="10" spans="1:26" ht="30.6" x14ac:dyDescent="0.3">
      <c r="A10" t="s">
        <v>61</v>
      </c>
      <c r="E10" t="s">
        <v>125</v>
      </c>
      <c r="W10" s="347"/>
      <c r="X10" s="347"/>
      <c r="Y10" s="14" t="s">
        <v>155</v>
      </c>
      <c r="Z10" s="14" t="s">
        <v>161</v>
      </c>
    </row>
    <row r="11" spans="1:26" ht="30.6" x14ac:dyDescent="0.3">
      <c r="A11" t="s">
        <v>62</v>
      </c>
      <c r="E11" t="s">
        <v>126</v>
      </c>
      <c r="W11" s="347"/>
      <c r="X11" s="347"/>
      <c r="Y11" s="14" t="s">
        <v>156</v>
      </c>
      <c r="Z11" s="14" t="s">
        <v>162</v>
      </c>
    </row>
    <row r="12" spans="1:26" ht="30.6" x14ac:dyDescent="0.3">
      <c r="A12" t="s">
        <v>63</v>
      </c>
      <c r="E12" t="s">
        <v>127</v>
      </c>
      <c r="W12" s="347"/>
      <c r="X12" s="347"/>
      <c r="Y12" s="14" t="s">
        <v>157</v>
      </c>
      <c r="Z12" s="14" t="s">
        <v>163</v>
      </c>
    </row>
    <row r="13" spans="1:26" ht="30.6" x14ac:dyDescent="0.3">
      <c r="A13" t="s">
        <v>64</v>
      </c>
      <c r="E13" t="s">
        <v>128</v>
      </c>
      <c r="W13" s="347"/>
      <c r="X13" s="347"/>
      <c r="Y13" s="14" t="s">
        <v>158</v>
      </c>
      <c r="Z13" s="14" t="s">
        <v>164</v>
      </c>
    </row>
    <row r="14" spans="1:26" ht="21" thickBot="1" x14ac:dyDescent="0.35">
      <c r="A14" t="s">
        <v>65</v>
      </c>
      <c r="B14" s="1"/>
      <c r="W14" s="347"/>
      <c r="X14" s="348"/>
      <c r="Y14" s="15" t="s">
        <v>159</v>
      </c>
      <c r="Z14" s="16"/>
    </row>
    <row r="15" spans="1:26" ht="30.6" x14ac:dyDescent="0.3">
      <c r="A15" t="s">
        <v>66</v>
      </c>
      <c r="B15" s="1"/>
      <c r="F15" t="s">
        <v>129</v>
      </c>
      <c r="W15" s="347"/>
      <c r="X15" s="346" t="s">
        <v>165</v>
      </c>
      <c r="Y15" s="14" t="s">
        <v>166</v>
      </c>
      <c r="Z15" s="14" t="s">
        <v>168</v>
      </c>
    </row>
    <row r="16" spans="1:26" ht="41.4" thickBot="1" x14ac:dyDescent="0.35">
      <c r="A16" t="s">
        <v>60</v>
      </c>
      <c r="B16" s="1"/>
      <c r="E16" t="s">
        <v>130</v>
      </c>
      <c r="W16" s="348"/>
      <c r="X16" s="348"/>
      <c r="Y16" s="15" t="s">
        <v>167</v>
      </c>
      <c r="Z16" s="15" t="s">
        <v>169</v>
      </c>
    </row>
    <row r="17" spans="1:26" ht="20.399999999999999" x14ac:dyDescent="0.3">
      <c r="A17" t="s">
        <v>63</v>
      </c>
      <c r="B17" s="1"/>
      <c r="E17" t="s">
        <v>131</v>
      </c>
      <c r="W17" s="349" t="s">
        <v>123</v>
      </c>
      <c r="X17" s="349" t="s">
        <v>170</v>
      </c>
      <c r="Y17" s="17" t="s">
        <v>171</v>
      </c>
      <c r="Z17" s="17" t="s">
        <v>174</v>
      </c>
    </row>
    <row r="18" spans="1:26" ht="45" customHeight="1" x14ac:dyDescent="0.3">
      <c r="A18" t="s">
        <v>67</v>
      </c>
      <c r="B18" s="1"/>
      <c r="E18" t="s">
        <v>132</v>
      </c>
      <c r="W18" s="350"/>
      <c r="X18" s="350"/>
      <c r="Y18" s="17" t="s">
        <v>172</v>
      </c>
      <c r="Z18" s="17" t="s">
        <v>175</v>
      </c>
    </row>
    <row r="19" spans="1:26" ht="21" thickBot="1" x14ac:dyDescent="0.35">
      <c r="B19" s="1"/>
      <c r="C19" s="1"/>
      <c r="D19" s="1"/>
      <c r="E19" s="1" t="s">
        <v>133</v>
      </c>
      <c r="F19" s="1"/>
      <c r="G19" s="1"/>
      <c r="H19" s="1"/>
      <c r="I19" s="1"/>
      <c r="W19" s="350"/>
      <c r="X19" s="351"/>
      <c r="Y19" s="18" t="s">
        <v>173</v>
      </c>
      <c r="Z19" s="18" t="s">
        <v>176</v>
      </c>
    </row>
    <row r="20" spans="1:26" ht="15" customHeight="1" x14ac:dyDescent="0.3">
      <c r="F20" t="s">
        <v>134</v>
      </c>
      <c r="W20" s="350"/>
      <c r="X20" s="349" t="s">
        <v>177</v>
      </c>
      <c r="Y20" s="17" t="s">
        <v>178</v>
      </c>
      <c r="Z20" s="17" t="s">
        <v>180</v>
      </c>
    </row>
    <row r="21" spans="1:26" ht="33.75" customHeight="1" thickBot="1" x14ac:dyDescent="0.35">
      <c r="F21" t="s">
        <v>135</v>
      </c>
      <c r="W21" s="351"/>
      <c r="X21" s="351"/>
      <c r="Y21" s="18" t="s">
        <v>179</v>
      </c>
      <c r="Z21" s="18" t="s">
        <v>181</v>
      </c>
    </row>
    <row r="22" spans="1:26" ht="40.799999999999997" x14ac:dyDescent="0.3">
      <c r="F22" t="s">
        <v>136</v>
      </c>
      <c r="W22" s="346" t="s">
        <v>182</v>
      </c>
      <c r="X22" s="346" t="s">
        <v>183</v>
      </c>
      <c r="Y22" s="14" t="s">
        <v>184</v>
      </c>
      <c r="Z22" s="14" t="s">
        <v>186</v>
      </c>
    </row>
    <row r="23" spans="1:26" ht="20.399999999999999" x14ac:dyDescent="0.3">
      <c r="F23" t="s">
        <v>137</v>
      </c>
      <c r="W23" s="347"/>
      <c r="X23" s="347"/>
      <c r="Y23" s="14" t="s">
        <v>185</v>
      </c>
      <c r="Z23" s="14" t="s">
        <v>151</v>
      </c>
    </row>
    <row r="24" spans="1:26" ht="21" thickBot="1" x14ac:dyDescent="0.35">
      <c r="W24" s="347"/>
      <c r="X24" s="348"/>
      <c r="Y24" s="16"/>
      <c r="Z24" s="15" t="s">
        <v>187</v>
      </c>
    </row>
    <row r="25" spans="1:26" ht="30.6" x14ac:dyDescent="0.3">
      <c r="W25" s="347"/>
      <c r="X25" s="346" t="s">
        <v>188</v>
      </c>
      <c r="Y25" s="14" t="s">
        <v>189</v>
      </c>
      <c r="Z25" s="14" t="s">
        <v>193</v>
      </c>
    </row>
    <row r="26" spans="1:26" ht="20.399999999999999" x14ac:dyDescent="0.3">
      <c r="W26" s="347"/>
      <c r="X26" s="347"/>
      <c r="Y26" s="14" t="s">
        <v>190</v>
      </c>
      <c r="Z26" s="14" t="s">
        <v>194</v>
      </c>
    </row>
    <row r="27" spans="1:26" ht="20.399999999999999" x14ac:dyDescent="0.3">
      <c r="K27" s="2"/>
      <c r="L27" s="2"/>
      <c r="W27" s="347"/>
      <c r="X27" s="347"/>
      <c r="Y27" s="14" t="s">
        <v>191</v>
      </c>
      <c r="Z27" s="14" t="s">
        <v>195</v>
      </c>
    </row>
    <row r="28" spans="1:26" ht="20.399999999999999" x14ac:dyDescent="0.3">
      <c r="W28" s="347"/>
      <c r="X28" s="347"/>
      <c r="Y28" s="14" t="s">
        <v>192</v>
      </c>
      <c r="Z28" s="14" t="s">
        <v>196</v>
      </c>
    </row>
    <row r="29" spans="1:26" ht="31.2" thickBot="1" x14ac:dyDescent="0.35">
      <c r="W29" s="347"/>
      <c r="X29" s="348"/>
      <c r="Y29" s="16"/>
      <c r="Z29" s="15" t="s">
        <v>162</v>
      </c>
    </row>
    <row r="30" spans="1:26" ht="15" customHeight="1" x14ac:dyDescent="0.3">
      <c r="W30" s="347"/>
      <c r="X30" s="14" t="s">
        <v>197</v>
      </c>
      <c r="Y30" s="14" t="s">
        <v>199</v>
      </c>
      <c r="Z30" s="346" t="s">
        <v>202</v>
      </c>
    </row>
    <row r="31" spans="1:26" ht="33.75" customHeight="1" x14ac:dyDescent="0.3">
      <c r="W31" s="347"/>
      <c r="X31" s="14" t="s">
        <v>198</v>
      </c>
      <c r="Y31" s="14" t="s">
        <v>200</v>
      </c>
      <c r="Z31" s="347"/>
    </row>
    <row r="32" spans="1:26" ht="15" thickBot="1" x14ac:dyDescent="0.35">
      <c r="W32" s="348"/>
      <c r="X32" s="16"/>
      <c r="Y32" s="15" t="s">
        <v>201</v>
      </c>
      <c r="Z32" s="348"/>
    </row>
    <row r="33" spans="1:26" ht="51" x14ac:dyDescent="0.3">
      <c r="W33" s="349" t="s">
        <v>127</v>
      </c>
      <c r="X33" s="349" t="s">
        <v>203</v>
      </c>
      <c r="Y33" s="17" t="s">
        <v>204</v>
      </c>
      <c r="Z33" s="17" t="s">
        <v>206</v>
      </c>
    </row>
    <row r="34" spans="1:26" ht="15" thickBot="1" x14ac:dyDescent="0.35">
      <c r="A34" t="s">
        <v>21</v>
      </c>
      <c r="B34" t="s">
        <v>117</v>
      </c>
      <c r="W34" s="350"/>
      <c r="X34" s="351"/>
      <c r="Y34" s="18" t="s">
        <v>205</v>
      </c>
      <c r="Z34" s="17" t="s">
        <v>207</v>
      </c>
    </row>
    <row r="35" spans="1:26" ht="21" thickBot="1" x14ac:dyDescent="0.35">
      <c r="W35" s="351"/>
      <c r="X35" s="18" t="s">
        <v>208</v>
      </c>
      <c r="Y35" s="18" t="s">
        <v>209</v>
      </c>
      <c r="Z35" s="19"/>
    </row>
    <row r="36" spans="1:26" ht="20.399999999999999" x14ac:dyDescent="0.3">
      <c r="A36" s="87" t="s">
        <v>725</v>
      </c>
      <c r="B36" s="8"/>
      <c r="C36" s="8"/>
      <c r="D36" s="8"/>
      <c r="H36" s="87" t="s">
        <v>726</v>
      </c>
      <c r="I36" s="8"/>
      <c r="J36" s="8"/>
      <c r="K36" s="8"/>
      <c r="L36" s="8"/>
      <c r="W36" s="346" t="s">
        <v>128</v>
      </c>
      <c r="X36" s="346" t="s">
        <v>210</v>
      </c>
      <c r="Y36" s="14" t="s">
        <v>211</v>
      </c>
      <c r="Z36" s="14" t="s">
        <v>214</v>
      </c>
    </row>
    <row r="37" spans="1:26" ht="20.399999999999999" x14ac:dyDescent="0.3">
      <c r="A37" s="10" t="s">
        <v>118</v>
      </c>
      <c r="B37" s="10" t="s">
        <v>119</v>
      </c>
      <c r="C37" s="10" t="s">
        <v>120</v>
      </c>
      <c r="D37" s="10" t="s">
        <v>121</v>
      </c>
      <c r="F37" t="s">
        <v>494</v>
      </c>
      <c r="H37" s="88" t="s">
        <v>500</v>
      </c>
      <c r="I37" s="8"/>
      <c r="J37" s="8"/>
      <c r="K37" s="8"/>
      <c r="L37" s="8"/>
      <c r="W37" s="347"/>
      <c r="X37" s="347"/>
      <c r="Y37" s="14" t="s">
        <v>212</v>
      </c>
      <c r="Z37" s="14" t="s">
        <v>215</v>
      </c>
    </row>
    <row r="38" spans="1:26" s="80" customFormat="1" ht="29.4" thickBot="1" x14ac:dyDescent="0.35">
      <c r="A38" s="79" t="s">
        <v>466</v>
      </c>
      <c r="B38" s="80" t="s">
        <v>466</v>
      </c>
      <c r="C38" s="80" t="s">
        <v>457</v>
      </c>
      <c r="D38" s="80" t="s">
        <v>466</v>
      </c>
      <c r="E38" s="80" t="s">
        <v>459</v>
      </c>
      <c r="F38" s="85" t="s">
        <v>493</v>
      </c>
      <c r="H38" s="80" t="s">
        <v>143</v>
      </c>
      <c r="I38" s="80" t="s">
        <v>502</v>
      </c>
      <c r="J38" s="80" t="s">
        <v>501</v>
      </c>
      <c r="K38" s="80" t="s">
        <v>503</v>
      </c>
      <c r="W38" s="348"/>
      <c r="X38" s="348"/>
      <c r="Y38" s="15" t="s">
        <v>213</v>
      </c>
      <c r="Z38" s="16"/>
    </row>
    <row r="39" spans="1:26" s="80" customFormat="1" ht="29.4" thickBot="1" x14ac:dyDescent="0.35">
      <c r="A39" s="79" t="s">
        <v>465</v>
      </c>
      <c r="B39" s="80" t="s">
        <v>458</v>
      </c>
      <c r="C39" s="80" t="s">
        <v>457</v>
      </c>
      <c r="D39" s="80" t="s">
        <v>456</v>
      </c>
      <c r="E39" s="80" t="s">
        <v>460</v>
      </c>
      <c r="F39" s="85" t="s">
        <v>492</v>
      </c>
      <c r="H39" s="80" t="s">
        <v>311</v>
      </c>
      <c r="I39" t="s">
        <v>236</v>
      </c>
      <c r="J39"/>
      <c r="K39"/>
      <c r="L39"/>
      <c r="M39"/>
      <c r="N39"/>
    </row>
    <row r="40" spans="1:26" s="80" customFormat="1" ht="43.8" thickBot="1" x14ac:dyDescent="0.35">
      <c r="A40" s="80" t="s">
        <v>462</v>
      </c>
      <c r="B40" s="80" t="s">
        <v>464</v>
      </c>
      <c r="C40" s="80" t="s">
        <v>463</v>
      </c>
      <c r="D40" s="80" t="s">
        <v>467</v>
      </c>
      <c r="E40" s="80" t="s">
        <v>461</v>
      </c>
      <c r="F40" s="84" t="s">
        <v>491</v>
      </c>
      <c r="H40" s="80" t="s">
        <v>497</v>
      </c>
      <c r="I40" s="257" t="s">
        <v>514</v>
      </c>
      <c r="J40" s="28" t="s">
        <v>238</v>
      </c>
      <c r="K40" s="98"/>
      <c r="L40" s="93"/>
      <c r="M40" s="31"/>
      <c r="N40" s="31"/>
      <c r="O40" s="31"/>
      <c r="P40" s="31"/>
      <c r="Q40" s="31"/>
      <c r="R40" s="99" t="s">
        <v>487</v>
      </c>
      <c r="S40" s="82" t="s">
        <v>216</v>
      </c>
    </row>
    <row r="41" spans="1:26" s="80" customFormat="1" ht="43.8" thickBot="1" x14ac:dyDescent="0.35">
      <c r="A41" s="80" t="s">
        <v>468</v>
      </c>
      <c r="B41" s="80" t="s">
        <v>469</v>
      </c>
      <c r="C41" s="80" t="s">
        <v>463</v>
      </c>
      <c r="D41" s="80" t="s">
        <v>476</v>
      </c>
      <c r="E41" s="80" t="s">
        <v>470</v>
      </c>
      <c r="F41" s="83" t="s">
        <v>490</v>
      </c>
      <c r="H41" s="80" t="s">
        <v>498</v>
      </c>
      <c r="I41" s="257"/>
      <c r="J41" s="28" t="s">
        <v>239</v>
      </c>
      <c r="K41" s="35"/>
      <c r="L41" s="36"/>
      <c r="M41" s="34"/>
      <c r="N41" s="34"/>
      <c r="O41" s="34"/>
      <c r="P41" s="34"/>
      <c r="Q41" s="34"/>
      <c r="R41" s="100" t="s">
        <v>488</v>
      </c>
      <c r="W41" s="20" t="s">
        <v>217</v>
      </c>
      <c r="X41" s="21" t="s">
        <v>218</v>
      </c>
      <c r="Y41" s="21" t="s">
        <v>219</v>
      </c>
    </row>
    <row r="42" spans="1:26" s="80" customFormat="1" ht="72.599999999999994" thickBot="1" x14ac:dyDescent="0.35">
      <c r="A42" s="80" t="s">
        <v>472</v>
      </c>
      <c r="B42" s="80" t="s">
        <v>474</v>
      </c>
      <c r="C42" s="80" t="s">
        <v>473</v>
      </c>
      <c r="D42" s="80" t="s">
        <v>477</v>
      </c>
      <c r="E42" s="80" t="s">
        <v>471</v>
      </c>
      <c r="F42" s="83" t="s">
        <v>489</v>
      </c>
      <c r="H42" s="80" t="s">
        <v>499</v>
      </c>
      <c r="I42" s="257"/>
      <c r="J42" s="28" t="s">
        <v>240</v>
      </c>
      <c r="K42" s="35"/>
      <c r="L42" s="36"/>
      <c r="M42" s="36"/>
      <c r="N42" s="34"/>
      <c r="O42" s="34"/>
      <c r="P42" s="34"/>
      <c r="Q42" s="34"/>
      <c r="R42" s="100" t="s">
        <v>489</v>
      </c>
      <c r="W42" s="340" t="s">
        <v>220</v>
      </c>
      <c r="X42" s="340" t="s">
        <v>221</v>
      </c>
      <c r="Y42" s="81" t="s">
        <v>222</v>
      </c>
    </row>
    <row r="43" spans="1:26" ht="60.6" thickBot="1" x14ac:dyDescent="0.35">
      <c r="A43" s="80" t="s">
        <v>478</v>
      </c>
      <c r="B43" s="80" t="s">
        <v>480</v>
      </c>
      <c r="C43" s="80" t="s">
        <v>483</v>
      </c>
      <c r="D43" s="80" t="s">
        <v>479</v>
      </c>
      <c r="E43" s="80" t="s">
        <v>475</v>
      </c>
      <c r="F43" s="83" t="s">
        <v>488</v>
      </c>
      <c r="H43" s="80" t="s">
        <v>127</v>
      </c>
      <c r="I43" s="257"/>
      <c r="J43" s="28" t="s">
        <v>241</v>
      </c>
      <c r="K43" s="35"/>
      <c r="L43" s="37"/>
      <c r="M43" s="36"/>
      <c r="N43" s="36"/>
      <c r="O43" s="34"/>
      <c r="P43" s="34"/>
      <c r="Q43" s="34"/>
      <c r="R43" s="86" t="s">
        <v>490</v>
      </c>
      <c r="W43" s="341"/>
      <c r="X43" s="341"/>
      <c r="Y43" s="22" t="s">
        <v>223</v>
      </c>
    </row>
    <row r="44" spans="1:26" ht="60.6" thickBot="1" x14ac:dyDescent="0.35">
      <c r="A44" s="80" t="s">
        <v>482</v>
      </c>
      <c r="B44" s="80" t="s">
        <v>481</v>
      </c>
      <c r="C44" s="80" t="s">
        <v>484</v>
      </c>
      <c r="D44" s="80" t="s">
        <v>485</v>
      </c>
      <c r="E44" s="80" t="s">
        <v>486</v>
      </c>
      <c r="F44" s="83" t="s">
        <v>487</v>
      </c>
      <c r="H44" s="80" t="s">
        <v>128</v>
      </c>
      <c r="I44" s="257"/>
      <c r="J44" s="92" t="s">
        <v>513</v>
      </c>
      <c r="K44" s="35"/>
      <c r="L44" s="37"/>
      <c r="M44" s="37"/>
      <c r="N44" s="36"/>
      <c r="O44" s="36"/>
      <c r="P44" s="34"/>
      <c r="Q44" s="34"/>
      <c r="R44" s="86" t="s">
        <v>491</v>
      </c>
      <c r="W44" s="342"/>
      <c r="X44" s="342"/>
      <c r="Y44" s="23" t="s">
        <v>224</v>
      </c>
    </row>
    <row r="45" spans="1:26" ht="36" x14ac:dyDescent="0.3">
      <c r="I45" s="257"/>
      <c r="J45" s="28" t="s">
        <v>512</v>
      </c>
      <c r="K45" s="94"/>
      <c r="L45" s="95"/>
      <c r="M45" s="95"/>
      <c r="N45" s="95"/>
      <c r="O45" s="96"/>
      <c r="P45" s="96"/>
      <c r="Q45" s="96"/>
      <c r="R45" s="86" t="s">
        <v>492</v>
      </c>
      <c r="W45" s="343" t="s">
        <v>225</v>
      </c>
      <c r="X45" s="343" t="s">
        <v>226</v>
      </c>
      <c r="Y45" s="24" t="s">
        <v>227</v>
      </c>
    </row>
    <row r="46" spans="1:26" ht="48.75" customHeight="1" x14ac:dyDescent="0.3">
      <c r="I46" s="27"/>
      <c r="J46" s="28" t="s">
        <v>511</v>
      </c>
      <c r="K46" s="97"/>
      <c r="L46" s="97"/>
      <c r="M46" s="97"/>
      <c r="N46" s="97"/>
      <c r="O46" s="97"/>
      <c r="P46" s="97"/>
      <c r="Q46" s="97"/>
      <c r="R46" s="86" t="s">
        <v>493</v>
      </c>
      <c r="W46" s="344"/>
      <c r="X46" s="344"/>
      <c r="Y46" s="24"/>
    </row>
    <row r="47" spans="1:26" ht="48.6" thickBot="1" x14ac:dyDescent="0.35">
      <c r="K47" s="38" t="s">
        <v>504</v>
      </c>
      <c r="L47" s="89" t="s">
        <v>505</v>
      </c>
      <c r="M47" s="38" t="s">
        <v>506</v>
      </c>
      <c r="N47" s="38" t="s">
        <v>507</v>
      </c>
      <c r="O47" s="38" t="s">
        <v>508</v>
      </c>
      <c r="P47" s="89" t="s">
        <v>509</v>
      </c>
      <c r="Q47" s="89" t="s">
        <v>510</v>
      </c>
      <c r="W47" s="345"/>
      <c r="X47" s="345"/>
      <c r="Y47" s="25" t="s">
        <v>228</v>
      </c>
    </row>
    <row r="48" spans="1:26" ht="72" x14ac:dyDescent="0.3">
      <c r="K48" s="258" t="s">
        <v>248</v>
      </c>
      <c r="L48" s="258"/>
      <c r="M48" s="258"/>
      <c r="N48" s="258"/>
      <c r="W48" s="340" t="s">
        <v>229</v>
      </c>
      <c r="X48" s="22" t="s">
        <v>230</v>
      </c>
      <c r="Y48" s="22" t="s">
        <v>232</v>
      </c>
    </row>
    <row r="49" spans="1:25" ht="180.6" thickBot="1" x14ac:dyDescent="0.35">
      <c r="W49" s="341"/>
      <c r="X49" s="22" t="s">
        <v>231</v>
      </c>
      <c r="Y49" s="22" t="s">
        <v>233</v>
      </c>
    </row>
    <row r="50" spans="1:25" ht="48" x14ac:dyDescent="0.3">
      <c r="I50" s="259"/>
      <c r="J50" s="260"/>
      <c r="K50" s="39" t="s">
        <v>9</v>
      </c>
      <c r="L50" s="41" t="s">
        <v>7</v>
      </c>
      <c r="M50" s="43" t="s">
        <v>251</v>
      </c>
      <c r="N50" s="45" t="s">
        <v>5</v>
      </c>
      <c r="W50" s="341"/>
      <c r="X50" s="26"/>
      <c r="Y50" s="22" t="s">
        <v>234</v>
      </c>
    </row>
    <row r="51" spans="1:25" ht="48.6" thickBot="1" x14ac:dyDescent="0.35">
      <c r="I51" s="259"/>
      <c r="J51" s="260"/>
      <c r="K51" s="40" t="s">
        <v>249</v>
      </c>
      <c r="L51" s="42" t="s">
        <v>250</v>
      </c>
      <c r="M51" s="44" t="s">
        <v>252</v>
      </c>
      <c r="N51" s="46" t="s">
        <v>253</v>
      </c>
      <c r="W51" s="342"/>
      <c r="X51" s="16"/>
      <c r="Y51" s="23" t="s">
        <v>235</v>
      </c>
    </row>
    <row r="52" spans="1:25" ht="15" thickBot="1" x14ac:dyDescent="0.35">
      <c r="S52" t="s">
        <v>236</v>
      </c>
    </row>
    <row r="53" spans="1:25" ht="32.25" customHeight="1" thickBot="1" x14ac:dyDescent="0.35">
      <c r="A53" t="s">
        <v>515</v>
      </c>
      <c r="B53" t="s">
        <v>520</v>
      </c>
      <c r="C53" t="s">
        <v>526</v>
      </c>
      <c r="E53" s="80" t="s">
        <v>524</v>
      </c>
      <c r="F53" s="80" t="s">
        <v>525</v>
      </c>
      <c r="N53" t="s">
        <v>256</v>
      </c>
      <c r="O53" t="s">
        <v>255</v>
      </c>
      <c r="S53" s="257" t="s">
        <v>237</v>
      </c>
      <c r="T53" s="28" t="s">
        <v>238</v>
      </c>
      <c r="U53" s="29"/>
      <c r="V53" s="30"/>
      <c r="W53" s="31"/>
      <c r="X53" s="31"/>
    </row>
    <row r="54" spans="1:25" ht="24.9" customHeight="1" thickBot="1" x14ac:dyDescent="0.35">
      <c r="A54" t="s">
        <v>516</v>
      </c>
      <c r="B54" s="66">
        <v>12500</v>
      </c>
      <c r="C54">
        <v>2.5</v>
      </c>
      <c r="D54" t="s">
        <v>521</v>
      </c>
      <c r="F54">
        <v>500</v>
      </c>
      <c r="M54" t="s">
        <v>254</v>
      </c>
      <c r="N54">
        <v>174</v>
      </c>
      <c r="O54" t="s">
        <v>257</v>
      </c>
      <c r="S54" s="257"/>
      <c r="T54" s="28" t="s">
        <v>239</v>
      </c>
      <c r="U54" s="32"/>
      <c r="V54" s="33"/>
      <c r="W54" s="33"/>
      <c r="X54" s="34"/>
    </row>
    <row r="55" spans="1:25" ht="24.9" customHeight="1" thickBot="1" x14ac:dyDescent="0.35">
      <c r="A55" t="s">
        <v>518</v>
      </c>
      <c r="B55" s="66">
        <v>50000</v>
      </c>
      <c r="C55">
        <v>15</v>
      </c>
      <c r="D55" t="s">
        <v>522</v>
      </c>
      <c r="N55" t="s">
        <v>259</v>
      </c>
      <c r="O55" t="s">
        <v>260</v>
      </c>
      <c r="S55" s="257"/>
      <c r="T55" s="28" t="s">
        <v>240</v>
      </c>
      <c r="U55" s="32"/>
      <c r="V55" s="33"/>
      <c r="W55" s="33"/>
      <c r="X55" s="34"/>
    </row>
    <row r="56" spans="1:25" ht="24.9" customHeight="1" thickBot="1" x14ac:dyDescent="0.35">
      <c r="A56" t="s">
        <v>517</v>
      </c>
      <c r="B56" s="66">
        <v>200000</v>
      </c>
      <c r="C56">
        <v>30</v>
      </c>
      <c r="D56" t="s">
        <v>523</v>
      </c>
      <c r="M56" t="s">
        <v>43</v>
      </c>
      <c r="N56">
        <v>0.1</v>
      </c>
      <c r="O56">
        <v>500</v>
      </c>
      <c r="S56" s="257"/>
      <c r="T56" s="28" t="s">
        <v>241</v>
      </c>
      <c r="U56" s="35"/>
      <c r="V56" s="36"/>
      <c r="W56" s="33"/>
      <c r="X56" s="33"/>
    </row>
    <row r="57" spans="1:25" ht="24.9" customHeight="1" thickBot="1" x14ac:dyDescent="0.35">
      <c r="A57" t="s">
        <v>519</v>
      </c>
      <c r="B57" s="66">
        <v>600000</v>
      </c>
      <c r="M57" t="s">
        <v>258</v>
      </c>
      <c r="N57">
        <v>0.2</v>
      </c>
      <c r="S57" s="257"/>
      <c r="T57" s="28" t="s">
        <v>242</v>
      </c>
      <c r="U57" s="35"/>
      <c r="V57" s="36"/>
      <c r="W57" s="36"/>
      <c r="X57" s="33"/>
    </row>
    <row r="58" spans="1:25" ht="24.9" customHeight="1" thickBot="1" x14ac:dyDescent="0.35">
      <c r="A58" t="s">
        <v>544</v>
      </c>
      <c r="M58" t="s">
        <v>94</v>
      </c>
      <c r="N58">
        <v>1</v>
      </c>
      <c r="O58">
        <v>25000</v>
      </c>
      <c r="S58" s="257"/>
      <c r="T58" s="28" t="s">
        <v>243</v>
      </c>
      <c r="U58" s="35"/>
      <c r="V58" s="37"/>
      <c r="W58" s="36"/>
      <c r="X58" s="36"/>
    </row>
    <row r="59" spans="1:25" ht="24.9" customHeight="1" x14ac:dyDescent="0.3">
      <c r="B59" t="s">
        <v>543</v>
      </c>
      <c r="H59">
        <f>109000*1128</f>
        <v>122952000</v>
      </c>
      <c r="S59" s="27"/>
      <c r="T59" s="28"/>
      <c r="U59" s="90"/>
      <c r="V59" s="90"/>
      <c r="W59" s="91"/>
      <c r="X59" s="91"/>
    </row>
    <row r="60" spans="1:25" ht="24.9" customHeight="1" x14ac:dyDescent="0.3">
      <c r="S60" s="27"/>
      <c r="T60" s="28"/>
      <c r="U60" s="90"/>
      <c r="V60" s="90"/>
      <c r="W60" s="91"/>
      <c r="X60" s="91"/>
    </row>
    <row r="61" spans="1:25" x14ac:dyDescent="0.3">
      <c r="A61" t="s">
        <v>527</v>
      </c>
      <c r="U61" s="38" t="s">
        <v>244</v>
      </c>
      <c r="V61" s="38" t="s">
        <v>245</v>
      </c>
      <c r="W61" s="38" t="s">
        <v>246</v>
      </c>
      <c r="X61" s="38" t="s">
        <v>247</v>
      </c>
    </row>
    <row r="62" spans="1:25" x14ac:dyDescent="0.3">
      <c r="A62" t="s">
        <v>528</v>
      </c>
      <c r="B62" s="86" t="s">
        <v>529</v>
      </c>
      <c r="C62" s="86"/>
      <c r="D62" s="86"/>
      <c r="G62" t="s">
        <v>552</v>
      </c>
      <c r="I62" t="s">
        <v>554</v>
      </c>
      <c r="M62" t="s">
        <v>261</v>
      </c>
      <c r="U62" s="258" t="s">
        <v>248</v>
      </c>
      <c r="V62" s="258"/>
      <c r="W62" s="258"/>
      <c r="X62" s="258"/>
    </row>
    <row r="63" spans="1:25" ht="15" thickBot="1" x14ac:dyDescent="0.35">
      <c r="B63" t="s">
        <v>530</v>
      </c>
      <c r="C63" t="s">
        <v>531</v>
      </c>
      <c r="D63" t="s">
        <v>532</v>
      </c>
      <c r="E63" t="s">
        <v>533</v>
      </c>
      <c r="F63" t="s">
        <v>421</v>
      </c>
      <c r="H63" t="s">
        <v>553</v>
      </c>
    </row>
    <row r="64" spans="1:25" x14ac:dyDescent="0.3">
      <c r="A64" t="s">
        <v>534</v>
      </c>
      <c r="B64">
        <v>10</v>
      </c>
      <c r="C64" s="48">
        <v>29</v>
      </c>
      <c r="D64" s="48">
        <v>1863</v>
      </c>
      <c r="E64" s="48">
        <v>7389</v>
      </c>
      <c r="F64" s="48">
        <v>3094</v>
      </c>
      <c r="H64" s="102">
        <f>(E64/1.31)/2.471</f>
        <v>2282.6620863080434</v>
      </c>
      <c r="M64" t="s">
        <v>262</v>
      </c>
      <c r="S64" s="259"/>
      <c r="T64" s="260"/>
      <c r="U64" s="39" t="s">
        <v>9</v>
      </c>
      <c r="V64" s="41" t="s">
        <v>7</v>
      </c>
      <c r="W64" s="43" t="s">
        <v>251</v>
      </c>
      <c r="X64" s="45" t="s">
        <v>5</v>
      </c>
    </row>
    <row r="65" spans="1:25" ht="15" thickBot="1" x14ac:dyDescent="0.35">
      <c r="A65" t="s">
        <v>535</v>
      </c>
      <c r="B65">
        <v>12</v>
      </c>
      <c r="C65" s="48">
        <v>1797</v>
      </c>
      <c r="D65" s="48">
        <v>15820</v>
      </c>
      <c r="E65" s="48">
        <v>36420</v>
      </c>
      <c r="F65" s="48">
        <v>18014</v>
      </c>
      <c r="H65" s="102">
        <f t="shared" ref="H65:H67" si="0">(E65/1.31)/2.471</f>
        <v>11251.123722200426</v>
      </c>
      <c r="M65" t="s">
        <v>263</v>
      </c>
      <c r="N65" t="s">
        <v>264</v>
      </c>
      <c r="S65" s="259"/>
      <c r="T65" s="260"/>
      <c r="U65" s="40" t="s">
        <v>249</v>
      </c>
      <c r="V65" s="42" t="s">
        <v>250</v>
      </c>
      <c r="W65" s="44" t="s">
        <v>252</v>
      </c>
      <c r="X65" s="46" t="s">
        <v>253</v>
      </c>
    </row>
    <row r="66" spans="1:25" x14ac:dyDescent="0.3">
      <c r="A66" t="s">
        <v>536</v>
      </c>
      <c r="B66">
        <v>12</v>
      </c>
      <c r="C66" s="48">
        <v>835</v>
      </c>
      <c r="D66" s="48">
        <v>8445</v>
      </c>
      <c r="E66" s="48">
        <v>41108</v>
      </c>
      <c r="F66" s="48">
        <v>16796</v>
      </c>
      <c r="H66" s="102">
        <f t="shared" si="0"/>
        <v>12699.373804838415</v>
      </c>
      <c r="M66" t="s">
        <v>265</v>
      </c>
      <c r="N66" t="s">
        <v>266</v>
      </c>
    </row>
    <row r="67" spans="1:25" ht="15" thickBot="1" x14ac:dyDescent="0.35">
      <c r="A67" t="s">
        <v>537</v>
      </c>
      <c r="B67" s="7">
        <v>8</v>
      </c>
      <c r="C67" s="101">
        <v>353</v>
      </c>
      <c r="D67" s="101">
        <v>7723</v>
      </c>
      <c r="E67" s="101">
        <v>67229</v>
      </c>
      <c r="F67" s="48">
        <v>20102</v>
      </c>
      <c r="H67" s="102">
        <f t="shared" si="0"/>
        <v>20768.857680390236</v>
      </c>
      <c r="M67" t="s">
        <v>267</v>
      </c>
      <c r="N67" t="s">
        <v>268</v>
      </c>
    </row>
    <row r="68" spans="1:25" ht="24" customHeight="1" x14ac:dyDescent="0.3">
      <c r="B68" s="1"/>
      <c r="C68" s="1"/>
      <c r="D68" s="1"/>
      <c r="E68" s="1"/>
      <c r="M68" t="s">
        <v>269</v>
      </c>
      <c r="N68" t="s">
        <v>270</v>
      </c>
      <c r="T68" s="289" t="s">
        <v>1062</v>
      </c>
      <c r="U68" s="49" t="s">
        <v>271</v>
      </c>
      <c r="V68" s="289" t="s">
        <v>272</v>
      </c>
      <c r="W68" s="49" t="s">
        <v>225</v>
      </c>
      <c r="X68" s="49" t="s">
        <v>273</v>
      </c>
      <c r="Y68" s="49" t="s">
        <v>275</v>
      </c>
    </row>
    <row r="69" spans="1:25" ht="15" thickBot="1" x14ac:dyDescent="0.35">
      <c r="A69" t="s">
        <v>538</v>
      </c>
      <c r="B69" s="1"/>
      <c r="C69" s="1"/>
      <c r="D69" s="1"/>
      <c r="E69" s="1"/>
      <c r="T69" s="291"/>
      <c r="U69" s="50" t="s">
        <v>289</v>
      </c>
      <c r="V69" s="291"/>
      <c r="W69" s="50" t="s">
        <v>290</v>
      </c>
      <c r="X69" s="50" t="s">
        <v>274</v>
      </c>
      <c r="Y69" s="50" t="s">
        <v>274</v>
      </c>
    </row>
    <row r="70" spans="1:25" ht="15" thickBot="1" x14ac:dyDescent="0.35">
      <c r="A70" t="s">
        <v>539</v>
      </c>
      <c r="B70" s="1"/>
      <c r="C70" s="1"/>
      <c r="D70" s="1"/>
      <c r="E70" s="1"/>
      <c r="T70" s="328" t="s">
        <v>276</v>
      </c>
      <c r="U70" s="337">
        <v>174</v>
      </c>
      <c r="V70" s="331" t="s">
        <v>277</v>
      </c>
      <c r="W70" s="51" t="s">
        <v>278</v>
      </c>
      <c r="X70" s="52">
        <v>8700</v>
      </c>
      <c r="Y70" s="328" t="s">
        <v>279</v>
      </c>
    </row>
    <row r="71" spans="1:25" ht="15" thickBot="1" x14ac:dyDescent="0.35">
      <c r="A71" t="s">
        <v>540</v>
      </c>
      <c r="B71" s="1"/>
      <c r="C71" s="1"/>
      <c r="D71" s="1"/>
      <c r="E71" s="1"/>
      <c r="T71" s="329"/>
      <c r="U71" s="338"/>
      <c r="V71" s="332"/>
      <c r="W71" s="51" t="s">
        <v>280</v>
      </c>
      <c r="X71" s="52">
        <v>435000</v>
      </c>
      <c r="Y71" s="329"/>
    </row>
    <row r="72" spans="1:25" ht="15" thickBot="1" x14ac:dyDescent="0.35">
      <c r="A72" t="s">
        <v>541</v>
      </c>
      <c r="B72" s="1"/>
      <c r="C72" s="1"/>
      <c r="D72" s="1"/>
      <c r="E72" s="1"/>
      <c r="T72" s="329"/>
      <c r="U72" s="338"/>
      <c r="V72" s="333"/>
      <c r="W72" s="51" t="s">
        <v>278</v>
      </c>
      <c r="X72" s="52">
        <v>8700</v>
      </c>
      <c r="Y72" s="329"/>
    </row>
    <row r="73" spans="1:25" ht="15" thickBot="1" x14ac:dyDescent="0.35">
      <c r="B73" s="1"/>
      <c r="C73" s="1"/>
      <c r="D73" s="1"/>
      <c r="E73" s="1"/>
      <c r="T73" s="330"/>
      <c r="U73" s="339"/>
      <c r="V73" s="51" t="s">
        <v>281</v>
      </c>
      <c r="W73" s="51" t="s">
        <v>278</v>
      </c>
      <c r="X73" s="52">
        <v>17500</v>
      </c>
      <c r="Y73" s="330"/>
    </row>
    <row r="74" spans="1:25" ht="15" thickBot="1" x14ac:dyDescent="0.35">
      <c r="B74" s="1"/>
      <c r="C74" s="1"/>
      <c r="D74" s="1"/>
      <c r="E74" s="1"/>
      <c r="T74" s="298" t="s">
        <v>282</v>
      </c>
      <c r="U74" s="317">
        <v>174</v>
      </c>
      <c r="V74" s="312" t="s">
        <v>277</v>
      </c>
      <c r="W74" s="53" t="s">
        <v>278</v>
      </c>
      <c r="X74" s="54">
        <v>8700</v>
      </c>
      <c r="Y74" s="298" t="s">
        <v>283</v>
      </c>
    </row>
    <row r="75" spans="1:25" ht="15" thickBot="1" x14ac:dyDescent="0.35">
      <c r="B75" s="1"/>
      <c r="C75" s="1"/>
      <c r="D75" s="1"/>
      <c r="E75" s="1"/>
      <c r="T75" s="299"/>
      <c r="U75" s="318"/>
      <c r="V75" s="327"/>
      <c r="W75" s="53" t="s">
        <v>278</v>
      </c>
      <c r="X75" s="54">
        <v>8700</v>
      </c>
      <c r="Y75" s="299"/>
    </row>
    <row r="76" spans="1:25" ht="15" thickBot="1" x14ac:dyDescent="0.35">
      <c r="B76" s="1"/>
      <c r="C76" s="1"/>
      <c r="D76" s="1"/>
      <c r="E76" s="1"/>
      <c r="F76" s="1"/>
      <c r="G76" s="1"/>
      <c r="L76" s="1"/>
      <c r="T76" s="299"/>
      <c r="U76" s="318"/>
      <c r="V76" s="327"/>
      <c r="W76" s="53" t="s">
        <v>280</v>
      </c>
      <c r="X76" s="54">
        <v>435000</v>
      </c>
      <c r="Y76" s="299"/>
    </row>
    <row r="77" spans="1:25" ht="15" thickBot="1" x14ac:dyDescent="0.35">
      <c r="T77" s="299"/>
      <c r="U77" s="318"/>
      <c r="V77" s="313"/>
      <c r="W77" s="53" t="s">
        <v>280</v>
      </c>
      <c r="X77" s="54">
        <v>435000</v>
      </c>
      <c r="Y77" s="299"/>
    </row>
    <row r="78" spans="1:25" ht="15" thickBot="1" x14ac:dyDescent="0.35">
      <c r="T78" s="299"/>
      <c r="U78" s="318"/>
      <c r="V78" s="312" t="s">
        <v>281</v>
      </c>
      <c r="W78" s="53" t="s">
        <v>278</v>
      </c>
      <c r="X78" s="54">
        <v>17400</v>
      </c>
      <c r="Y78" s="299"/>
    </row>
    <row r="79" spans="1:25" ht="15" thickBot="1" x14ac:dyDescent="0.35">
      <c r="T79" s="299"/>
      <c r="U79" s="318"/>
      <c r="V79" s="313"/>
      <c r="W79" s="53" t="s">
        <v>280</v>
      </c>
      <c r="X79" s="54">
        <v>870000</v>
      </c>
      <c r="Y79" s="299"/>
    </row>
    <row r="80" spans="1:25" ht="15" thickBot="1" x14ac:dyDescent="0.35">
      <c r="T80" s="300"/>
      <c r="U80" s="319"/>
      <c r="V80" s="53" t="s">
        <v>284</v>
      </c>
      <c r="W80" s="53" t="s">
        <v>278</v>
      </c>
      <c r="X80" s="54">
        <v>87000</v>
      </c>
      <c r="Y80" s="300"/>
    </row>
    <row r="81" spans="12:25" ht="15" thickBot="1" x14ac:dyDescent="0.35">
      <c r="T81" s="301" t="s">
        <v>285</v>
      </c>
      <c r="U81" s="314">
        <v>174</v>
      </c>
      <c r="V81" s="55" t="s">
        <v>277</v>
      </c>
      <c r="W81" s="55" t="s">
        <v>280</v>
      </c>
      <c r="X81" s="56">
        <v>435000</v>
      </c>
      <c r="Y81" s="301" t="s">
        <v>286</v>
      </c>
    </row>
    <row r="82" spans="12:25" ht="15" thickBot="1" x14ac:dyDescent="0.35">
      <c r="T82" s="302"/>
      <c r="U82" s="315"/>
      <c r="V82" s="307" t="s">
        <v>281</v>
      </c>
      <c r="W82" s="55" t="s">
        <v>278</v>
      </c>
      <c r="X82" s="56">
        <v>17400</v>
      </c>
      <c r="Y82" s="302"/>
    </row>
    <row r="83" spans="12:25" ht="15" thickBot="1" x14ac:dyDescent="0.35">
      <c r="T83" s="302"/>
      <c r="U83" s="315"/>
      <c r="V83" s="326"/>
      <c r="W83" s="55" t="s">
        <v>278</v>
      </c>
      <c r="X83" s="56">
        <v>17400</v>
      </c>
      <c r="Y83" s="302"/>
    </row>
    <row r="84" spans="12:25" ht="15" thickBot="1" x14ac:dyDescent="0.35">
      <c r="T84" s="302"/>
      <c r="U84" s="315"/>
      <c r="V84" s="326"/>
      <c r="W84" s="55" t="s">
        <v>280</v>
      </c>
      <c r="X84" s="56">
        <v>870000</v>
      </c>
      <c r="Y84" s="302"/>
    </row>
    <row r="85" spans="12:25" ht="15" thickBot="1" x14ac:dyDescent="0.35">
      <c r="T85" s="302"/>
      <c r="U85" s="315"/>
      <c r="V85" s="308"/>
      <c r="W85" s="55" t="s">
        <v>280</v>
      </c>
      <c r="X85" s="56">
        <v>870000</v>
      </c>
      <c r="Y85" s="302"/>
    </row>
    <row r="86" spans="12:25" ht="15" thickBot="1" x14ac:dyDescent="0.35">
      <c r="T86" s="302"/>
      <c r="U86" s="315"/>
      <c r="V86" s="307" t="s">
        <v>284</v>
      </c>
      <c r="W86" s="55" t="s">
        <v>278</v>
      </c>
      <c r="X86" s="56">
        <v>87000</v>
      </c>
      <c r="Y86" s="302"/>
    </row>
    <row r="87" spans="12:25" ht="15" thickBot="1" x14ac:dyDescent="0.35">
      <c r="T87" s="302"/>
      <c r="U87" s="315"/>
      <c r="V87" s="326"/>
      <c r="W87" s="55" t="s">
        <v>278</v>
      </c>
      <c r="X87" s="56">
        <v>87000</v>
      </c>
      <c r="Y87" s="302"/>
    </row>
    <row r="88" spans="12:25" ht="15" thickBot="1" x14ac:dyDescent="0.35">
      <c r="T88" s="302"/>
      <c r="U88" s="315"/>
      <c r="V88" s="326"/>
      <c r="W88" s="55" t="s">
        <v>280</v>
      </c>
      <c r="X88" s="56">
        <v>4350000</v>
      </c>
      <c r="Y88" s="302"/>
    </row>
    <row r="89" spans="12:25" ht="15" thickBot="1" x14ac:dyDescent="0.35">
      <c r="T89" s="303"/>
      <c r="U89" s="316"/>
      <c r="V89" s="308"/>
      <c r="W89" s="55" t="s">
        <v>280</v>
      </c>
      <c r="X89" s="56">
        <v>4350000</v>
      </c>
      <c r="Y89" s="303"/>
    </row>
    <row r="90" spans="12:25" ht="15" thickBot="1" x14ac:dyDescent="0.35">
      <c r="T90" s="320" t="s">
        <v>287</v>
      </c>
      <c r="U90" s="334">
        <v>174</v>
      </c>
      <c r="V90" s="57" t="s">
        <v>281</v>
      </c>
      <c r="W90" s="57" t="s">
        <v>280</v>
      </c>
      <c r="X90" s="58">
        <v>870000</v>
      </c>
      <c r="Y90" s="320" t="s">
        <v>288</v>
      </c>
    </row>
    <row r="91" spans="12:25" ht="15" thickBot="1" x14ac:dyDescent="0.35">
      <c r="T91" s="321"/>
      <c r="U91" s="335"/>
      <c r="V91" s="323" t="s">
        <v>284</v>
      </c>
      <c r="W91" s="57" t="s">
        <v>278</v>
      </c>
      <c r="X91" s="58">
        <v>87000</v>
      </c>
      <c r="Y91" s="321"/>
    </row>
    <row r="92" spans="12:25" ht="15" thickBot="1" x14ac:dyDescent="0.35">
      <c r="T92" s="321"/>
      <c r="U92" s="335"/>
      <c r="V92" s="324"/>
      <c r="W92" s="57" t="s">
        <v>280</v>
      </c>
      <c r="X92" s="58">
        <v>4350000</v>
      </c>
      <c r="Y92" s="321"/>
    </row>
    <row r="93" spans="12:25" ht="15" thickBot="1" x14ac:dyDescent="0.35">
      <c r="T93" s="322"/>
      <c r="U93" s="336"/>
      <c r="V93" s="325"/>
      <c r="W93" s="57" t="s">
        <v>280</v>
      </c>
      <c r="X93" s="58">
        <v>4350000</v>
      </c>
      <c r="Y93" s="322"/>
    </row>
    <row r="96" spans="12:25" ht="15" thickBot="1" x14ac:dyDescent="0.35">
      <c r="L96" s="61" t="s">
        <v>297</v>
      </c>
      <c r="T96" t="s">
        <v>311</v>
      </c>
    </row>
    <row r="97" spans="12:25" ht="36" customHeight="1" x14ac:dyDescent="0.3">
      <c r="T97" s="289" t="s">
        <v>1062</v>
      </c>
      <c r="U97" s="49" t="s">
        <v>298</v>
      </c>
      <c r="V97" s="49" t="s">
        <v>272</v>
      </c>
      <c r="W97" s="49" t="s">
        <v>225</v>
      </c>
      <c r="X97" s="49" t="s">
        <v>273</v>
      </c>
      <c r="Y97" s="49" t="s">
        <v>301</v>
      </c>
    </row>
    <row r="98" spans="12:25" ht="15" thickBot="1" x14ac:dyDescent="0.35">
      <c r="L98" t="s">
        <v>262</v>
      </c>
      <c r="T98" s="291"/>
      <c r="U98" s="50" t="s">
        <v>274</v>
      </c>
      <c r="V98" s="50" t="s">
        <v>299</v>
      </c>
      <c r="W98" s="50" t="s">
        <v>300</v>
      </c>
      <c r="X98" s="50" t="s">
        <v>274</v>
      </c>
      <c r="Y98" s="50" t="s">
        <v>274</v>
      </c>
    </row>
    <row r="99" spans="12:25" ht="15" thickBot="1" x14ac:dyDescent="0.35">
      <c r="L99" t="s">
        <v>296</v>
      </c>
      <c r="M99" t="s">
        <v>295</v>
      </c>
      <c r="T99" s="328" t="s">
        <v>276</v>
      </c>
      <c r="U99" s="337">
        <v>489387</v>
      </c>
      <c r="V99" s="331" t="s">
        <v>302</v>
      </c>
      <c r="W99" s="51" t="s">
        <v>303</v>
      </c>
      <c r="X99" s="52">
        <v>17734</v>
      </c>
      <c r="Y99" s="328" t="s">
        <v>304</v>
      </c>
    </row>
    <row r="100" spans="12:25" ht="15" thickBot="1" x14ac:dyDescent="0.35">
      <c r="L100" t="s">
        <v>291</v>
      </c>
      <c r="M100" t="s">
        <v>292</v>
      </c>
      <c r="T100" s="329"/>
      <c r="U100" s="338"/>
      <c r="V100" s="332"/>
      <c r="W100" s="51" t="s">
        <v>305</v>
      </c>
      <c r="X100" s="52">
        <v>88668</v>
      </c>
      <c r="Y100" s="329"/>
    </row>
    <row r="101" spans="12:25" ht="15" thickBot="1" x14ac:dyDescent="0.35">
      <c r="L101" t="s">
        <v>267</v>
      </c>
      <c r="M101" t="s">
        <v>293</v>
      </c>
      <c r="T101" s="329"/>
      <c r="U101" s="338"/>
      <c r="V101" s="333"/>
      <c r="W101" s="51" t="s">
        <v>303</v>
      </c>
      <c r="X101" s="52">
        <v>17734</v>
      </c>
      <c r="Y101" s="329"/>
    </row>
    <row r="102" spans="12:25" ht="15" thickBot="1" x14ac:dyDescent="0.35">
      <c r="L102" t="s">
        <v>269</v>
      </c>
      <c r="M102" t="s">
        <v>294</v>
      </c>
      <c r="T102" s="330"/>
      <c r="U102" s="339"/>
      <c r="V102" s="51" t="s">
        <v>306</v>
      </c>
      <c r="W102" s="51" t="s">
        <v>303</v>
      </c>
      <c r="X102" s="52">
        <v>35467</v>
      </c>
      <c r="Y102" s="330"/>
    </row>
    <row r="103" spans="12:25" ht="15" thickBot="1" x14ac:dyDescent="0.35">
      <c r="T103" s="298" t="s">
        <v>282</v>
      </c>
      <c r="U103" s="317">
        <v>752458</v>
      </c>
      <c r="V103" s="312" t="s">
        <v>302</v>
      </c>
      <c r="W103" s="53" t="s">
        <v>303</v>
      </c>
      <c r="X103" s="54">
        <v>162558</v>
      </c>
      <c r="Y103" s="298" t="s">
        <v>307</v>
      </c>
    </row>
    <row r="104" spans="12:25" ht="15" thickBot="1" x14ac:dyDescent="0.35">
      <c r="T104" s="299"/>
      <c r="U104" s="318"/>
      <c r="V104" s="327"/>
      <c r="W104" s="53" t="s">
        <v>303</v>
      </c>
      <c r="X104" s="54">
        <v>310338</v>
      </c>
      <c r="Y104" s="299"/>
    </row>
    <row r="105" spans="12:25" ht="15" thickBot="1" x14ac:dyDescent="0.35">
      <c r="T105" s="299"/>
      <c r="U105" s="318"/>
      <c r="V105" s="327"/>
      <c r="W105" s="53" t="s">
        <v>305</v>
      </c>
      <c r="X105" s="54">
        <v>88668</v>
      </c>
      <c r="Y105" s="299"/>
    </row>
    <row r="106" spans="12:25" ht="15" thickBot="1" x14ac:dyDescent="0.35">
      <c r="T106" s="299"/>
      <c r="U106" s="318"/>
      <c r="V106" s="313"/>
      <c r="W106" s="53" t="s">
        <v>305</v>
      </c>
      <c r="X106" s="54">
        <v>812790</v>
      </c>
      <c r="Y106" s="299"/>
    </row>
    <row r="107" spans="12:25" ht="15" thickBot="1" x14ac:dyDescent="0.35">
      <c r="T107" s="299"/>
      <c r="U107" s="318"/>
      <c r="V107" s="312" t="s">
        <v>306</v>
      </c>
      <c r="W107" s="53" t="s">
        <v>303</v>
      </c>
      <c r="X107" s="54">
        <v>35467</v>
      </c>
      <c r="Y107" s="299"/>
    </row>
    <row r="108" spans="12:25" ht="15" thickBot="1" x14ac:dyDescent="0.35">
      <c r="T108" s="299"/>
      <c r="U108" s="318"/>
      <c r="V108" s="313"/>
      <c r="W108" s="53" t="s">
        <v>305</v>
      </c>
      <c r="X108" s="54">
        <v>177336</v>
      </c>
      <c r="Y108" s="299"/>
    </row>
    <row r="109" spans="12:25" ht="15" thickBot="1" x14ac:dyDescent="0.35">
      <c r="T109" s="300"/>
      <c r="U109" s="319"/>
      <c r="V109" s="53" t="s">
        <v>308</v>
      </c>
      <c r="W109" s="53" t="s">
        <v>303</v>
      </c>
      <c r="X109" s="54">
        <v>177336</v>
      </c>
      <c r="Y109" s="300"/>
    </row>
    <row r="110" spans="12:25" ht="15" thickBot="1" x14ac:dyDescent="0.35">
      <c r="T110" s="301" t="s">
        <v>285</v>
      </c>
      <c r="U110" s="314">
        <v>1448218</v>
      </c>
      <c r="V110" s="55" t="s">
        <v>302</v>
      </c>
      <c r="W110" s="55" t="s">
        <v>305</v>
      </c>
      <c r="X110" s="56">
        <v>14851890</v>
      </c>
      <c r="Y110" s="301" t="s">
        <v>309</v>
      </c>
    </row>
    <row r="111" spans="12:25" ht="15" thickBot="1" x14ac:dyDescent="0.35">
      <c r="T111" s="302"/>
      <c r="U111" s="315"/>
      <c r="V111" s="307" t="s">
        <v>306</v>
      </c>
      <c r="W111" s="55" t="s">
        <v>303</v>
      </c>
      <c r="X111" s="56">
        <v>325116</v>
      </c>
      <c r="Y111" s="302"/>
    </row>
    <row r="112" spans="12:25" ht="15" thickBot="1" x14ac:dyDescent="0.35">
      <c r="T112" s="302"/>
      <c r="U112" s="315"/>
      <c r="V112" s="326"/>
      <c r="W112" s="55" t="s">
        <v>303</v>
      </c>
      <c r="X112" s="56">
        <v>5940756</v>
      </c>
      <c r="Y112" s="302"/>
    </row>
    <row r="113" spans="6:26" ht="15" thickBot="1" x14ac:dyDescent="0.35">
      <c r="T113" s="302"/>
      <c r="U113" s="315"/>
      <c r="V113" s="326"/>
      <c r="W113" s="55" t="s">
        <v>305</v>
      </c>
      <c r="X113" s="56">
        <v>177336</v>
      </c>
      <c r="Y113" s="302"/>
    </row>
    <row r="114" spans="6:26" ht="15" thickBot="1" x14ac:dyDescent="0.35">
      <c r="T114" s="302"/>
      <c r="U114" s="315"/>
      <c r="V114" s="308"/>
      <c r="W114" s="55" t="s">
        <v>305</v>
      </c>
      <c r="X114" s="56">
        <v>1625580</v>
      </c>
      <c r="Y114" s="302"/>
    </row>
    <row r="115" spans="6:26" ht="15" thickBot="1" x14ac:dyDescent="0.35">
      <c r="T115" s="302"/>
      <c r="U115" s="315"/>
      <c r="V115" s="307" t="s">
        <v>308</v>
      </c>
      <c r="W115" s="55" t="s">
        <v>303</v>
      </c>
      <c r="X115" s="56">
        <v>177336</v>
      </c>
      <c r="Y115" s="302"/>
    </row>
    <row r="116" spans="6:26" ht="15" thickBot="1" x14ac:dyDescent="0.35">
      <c r="T116" s="302"/>
      <c r="U116" s="315"/>
      <c r="V116" s="326"/>
      <c r="W116" s="55" t="s">
        <v>303</v>
      </c>
      <c r="X116" s="56">
        <v>1625580</v>
      </c>
      <c r="Y116" s="302"/>
    </row>
    <row r="117" spans="6:26" ht="15" thickBot="1" x14ac:dyDescent="0.35">
      <c r="T117" s="302"/>
      <c r="U117" s="315"/>
      <c r="V117" s="326"/>
      <c r="W117" s="55" t="s">
        <v>305</v>
      </c>
      <c r="X117" s="56">
        <v>886680</v>
      </c>
      <c r="Y117" s="302"/>
    </row>
    <row r="118" spans="6:26" ht="15" thickBot="1" x14ac:dyDescent="0.35">
      <c r="T118" s="303"/>
      <c r="U118" s="316"/>
      <c r="V118" s="308"/>
      <c r="W118" s="55" t="s">
        <v>305</v>
      </c>
      <c r="X118" s="56">
        <v>886680</v>
      </c>
      <c r="Y118" s="303"/>
    </row>
    <row r="119" spans="6:26" ht="15" thickBot="1" x14ac:dyDescent="0.35">
      <c r="T119" s="320" t="s">
        <v>287</v>
      </c>
      <c r="U119" s="334">
        <v>6032786</v>
      </c>
      <c r="V119" s="57" t="s">
        <v>306</v>
      </c>
      <c r="W119" s="57" t="s">
        <v>305</v>
      </c>
      <c r="X119" s="58">
        <v>29703780</v>
      </c>
      <c r="Y119" s="320" t="s">
        <v>310</v>
      </c>
    </row>
    <row r="120" spans="6:26" ht="15" thickBot="1" x14ac:dyDescent="0.35">
      <c r="T120" s="321"/>
      <c r="U120" s="335"/>
      <c r="V120" s="323" t="s">
        <v>308</v>
      </c>
      <c r="W120" s="57" t="s">
        <v>303</v>
      </c>
      <c r="X120" s="58">
        <v>29703780</v>
      </c>
      <c r="Y120" s="321"/>
    </row>
    <row r="121" spans="6:26" ht="15" thickBot="1" x14ac:dyDescent="0.35">
      <c r="T121" s="321"/>
      <c r="U121" s="335"/>
      <c r="V121" s="324"/>
      <c r="W121" s="57" t="s">
        <v>305</v>
      </c>
      <c r="X121" s="58">
        <v>8127900</v>
      </c>
      <c r="Y121" s="321"/>
    </row>
    <row r="122" spans="6:26" ht="15" thickBot="1" x14ac:dyDescent="0.35">
      <c r="T122" s="322"/>
      <c r="U122" s="336"/>
      <c r="V122" s="325"/>
      <c r="W122" s="57" t="s">
        <v>305</v>
      </c>
      <c r="X122" s="58">
        <v>148518900</v>
      </c>
      <c r="Y122" s="322"/>
    </row>
    <row r="123" spans="6:26" ht="15" thickBot="1" x14ac:dyDescent="0.35"/>
    <row r="124" spans="6:26" ht="24" customHeight="1" x14ac:dyDescent="0.3">
      <c r="F124" s="63" t="s">
        <v>312</v>
      </c>
      <c r="Q124" t="s">
        <v>337</v>
      </c>
      <c r="T124" s="289" t="s">
        <v>1062</v>
      </c>
      <c r="U124" s="49" t="s">
        <v>324</v>
      </c>
      <c r="V124" s="289" t="s">
        <v>272</v>
      </c>
      <c r="W124" s="49" t="s">
        <v>225</v>
      </c>
      <c r="X124" s="289" t="s">
        <v>327</v>
      </c>
      <c r="Y124" s="49" t="s">
        <v>273</v>
      </c>
      <c r="Z124" s="49" t="s">
        <v>328</v>
      </c>
    </row>
    <row r="125" spans="6:26" ht="15" thickBot="1" x14ac:dyDescent="0.35">
      <c r="T125" s="291"/>
      <c r="U125" s="50" t="s">
        <v>325</v>
      </c>
      <c r="V125" s="291"/>
      <c r="W125" s="50" t="s">
        <v>326</v>
      </c>
      <c r="X125" s="291"/>
      <c r="Y125" s="50" t="s">
        <v>274</v>
      </c>
      <c r="Z125" s="50" t="s">
        <v>274</v>
      </c>
    </row>
    <row r="126" spans="6:26" ht="15" thickBot="1" x14ac:dyDescent="0.35">
      <c r="F126" s="62" t="s">
        <v>262</v>
      </c>
      <c r="T126" s="328" t="s">
        <v>276</v>
      </c>
      <c r="U126" s="337">
        <v>748</v>
      </c>
      <c r="V126" s="331" t="s">
        <v>277</v>
      </c>
      <c r="W126" s="51" t="s">
        <v>303</v>
      </c>
      <c r="X126" s="51" t="s">
        <v>329</v>
      </c>
      <c r="Y126" s="52">
        <v>299</v>
      </c>
      <c r="Z126" s="328" t="s">
        <v>330</v>
      </c>
    </row>
    <row r="127" spans="6:26" ht="15" thickBot="1" x14ac:dyDescent="0.35">
      <c r="F127" s="62" t="s">
        <v>313</v>
      </c>
      <c r="G127" s="62" t="s">
        <v>314</v>
      </c>
      <c r="H127" s="62"/>
      <c r="I127" s="62"/>
      <c r="T127" s="329"/>
      <c r="U127" s="338"/>
      <c r="V127" s="332"/>
      <c r="W127" s="51" t="s">
        <v>305</v>
      </c>
      <c r="X127" s="51" t="s">
        <v>329</v>
      </c>
      <c r="Y127" s="52">
        <v>1496</v>
      </c>
      <c r="Z127" s="329"/>
    </row>
    <row r="128" spans="6:26" ht="15" thickBot="1" x14ac:dyDescent="0.35">
      <c r="F128" s="62" t="s">
        <v>315</v>
      </c>
      <c r="G128" s="62" t="s">
        <v>316</v>
      </c>
      <c r="H128" s="62"/>
      <c r="I128" s="62"/>
      <c r="T128" s="329"/>
      <c r="U128" s="338"/>
      <c r="V128" s="333"/>
      <c r="W128" s="51" t="s">
        <v>303</v>
      </c>
      <c r="X128" s="51" t="s">
        <v>331</v>
      </c>
      <c r="Y128" s="52">
        <v>299</v>
      </c>
      <c r="Z128" s="329"/>
    </row>
    <row r="129" spans="6:26" ht="15.6" thickBot="1" x14ac:dyDescent="0.35">
      <c r="F129" s="62" t="s">
        <v>317</v>
      </c>
      <c r="G129" s="62" t="s">
        <v>318</v>
      </c>
      <c r="H129" s="62"/>
      <c r="I129" s="62"/>
      <c r="T129" s="330"/>
      <c r="U129" s="339"/>
      <c r="V129" s="51" t="s">
        <v>281</v>
      </c>
      <c r="W129" s="51" t="s">
        <v>303</v>
      </c>
      <c r="X129" s="51" t="s">
        <v>329</v>
      </c>
      <c r="Y129" s="52">
        <v>598</v>
      </c>
      <c r="Z129" s="330"/>
    </row>
    <row r="130" spans="6:26" ht="15" thickBot="1" x14ac:dyDescent="0.35">
      <c r="F130" s="62" t="s">
        <v>269</v>
      </c>
      <c r="G130" s="62" t="s">
        <v>319</v>
      </c>
      <c r="H130" s="62"/>
      <c r="I130" s="62"/>
      <c r="T130" s="298" t="s">
        <v>282</v>
      </c>
      <c r="U130" s="317">
        <v>748</v>
      </c>
      <c r="V130" s="312" t="s">
        <v>277</v>
      </c>
      <c r="W130" s="53" t="s">
        <v>303</v>
      </c>
      <c r="X130" s="53" t="s">
        <v>332</v>
      </c>
      <c r="Y130" s="54">
        <v>1496</v>
      </c>
      <c r="Z130" s="298" t="s">
        <v>333</v>
      </c>
    </row>
    <row r="131" spans="6:26" ht="15.6" thickBot="1" x14ac:dyDescent="0.35">
      <c r="F131" s="62" t="s">
        <v>320</v>
      </c>
      <c r="G131" s="62" t="s">
        <v>321</v>
      </c>
      <c r="H131" s="62"/>
      <c r="T131" s="299"/>
      <c r="U131" s="318"/>
      <c r="V131" s="327"/>
      <c r="W131" s="53" t="s">
        <v>303</v>
      </c>
      <c r="X131" s="53" t="s">
        <v>334</v>
      </c>
      <c r="Y131" s="54">
        <v>29920</v>
      </c>
      <c r="Z131" s="299"/>
    </row>
    <row r="132" spans="6:26" ht="15" thickBot="1" x14ac:dyDescent="0.35">
      <c r="F132" s="62" t="s">
        <v>322</v>
      </c>
      <c r="G132" s="62" t="s">
        <v>323</v>
      </c>
      <c r="H132" s="62"/>
      <c r="I132" s="62"/>
      <c r="T132" s="299"/>
      <c r="U132" s="318"/>
      <c r="V132" s="327"/>
      <c r="W132" s="53" t="s">
        <v>305</v>
      </c>
      <c r="X132" s="53" t="s">
        <v>331</v>
      </c>
      <c r="Y132" s="54">
        <v>1496</v>
      </c>
      <c r="Z132" s="299"/>
    </row>
    <row r="133" spans="6:26" ht="15" thickBot="1" x14ac:dyDescent="0.35">
      <c r="T133" s="299"/>
      <c r="U133" s="318"/>
      <c r="V133" s="313"/>
      <c r="W133" s="53" t="s">
        <v>305</v>
      </c>
      <c r="X133" s="53" t="s">
        <v>332</v>
      </c>
      <c r="Y133" s="54">
        <v>7480</v>
      </c>
      <c r="Z133" s="299"/>
    </row>
    <row r="134" spans="6:26" ht="15" thickBot="1" x14ac:dyDescent="0.35">
      <c r="T134" s="299"/>
      <c r="U134" s="318"/>
      <c r="V134" s="312" t="s">
        <v>281</v>
      </c>
      <c r="W134" s="53" t="s">
        <v>303</v>
      </c>
      <c r="X134" s="53" t="s">
        <v>331</v>
      </c>
      <c r="Y134" s="54">
        <v>598</v>
      </c>
      <c r="Z134" s="299"/>
    </row>
    <row r="135" spans="6:26" ht="15" thickBot="1" x14ac:dyDescent="0.35">
      <c r="T135" s="299"/>
      <c r="U135" s="318"/>
      <c r="V135" s="313"/>
      <c r="W135" s="53" t="s">
        <v>305</v>
      </c>
      <c r="X135" s="53" t="s">
        <v>329</v>
      </c>
      <c r="Y135" s="54">
        <v>2992</v>
      </c>
      <c r="Z135" s="299"/>
    </row>
    <row r="136" spans="6:26" ht="15" thickBot="1" x14ac:dyDescent="0.35">
      <c r="T136" s="300"/>
      <c r="U136" s="319"/>
      <c r="V136" s="53" t="s">
        <v>284</v>
      </c>
      <c r="W136" s="53" t="s">
        <v>303</v>
      </c>
      <c r="X136" s="53" t="s">
        <v>329</v>
      </c>
      <c r="Y136" s="54">
        <v>2992</v>
      </c>
      <c r="Z136" s="300"/>
    </row>
    <row r="137" spans="6:26" ht="15" thickBot="1" x14ac:dyDescent="0.35">
      <c r="T137" s="301" t="s">
        <v>285</v>
      </c>
      <c r="U137" s="314">
        <v>748</v>
      </c>
      <c r="V137" s="55" t="s">
        <v>277</v>
      </c>
      <c r="W137" s="55" t="s">
        <v>305</v>
      </c>
      <c r="X137" s="55" t="s">
        <v>334</v>
      </c>
      <c r="Y137" s="56">
        <v>149600</v>
      </c>
      <c r="Z137" s="301" t="s">
        <v>335</v>
      </c>
    </row>
    <row r="138" spans="6:26" ht="15" thickBot="1" x14ac:dyDescent="0.35">
      <c r="T138" s="302"/>
      <c r="U138" s="315"/>
      <c r="V138" s="307" t="s">
        <v>281</v>
      </c>
      <c r="W138" s="55" t="s">
        <v>303</v>
      </c>
      <c r="X138" s="55" t="s">
        <v>332</v>
      </c>
      <c r="Y138" s="56">
        <v>2992</v>
      </c>
      <c r="Z138" s="302"/>
    </row>
    <row r="139" spans="6:26" ht="15" thickBot="1" x14ac:dyDescent="0.35">
      <c r="T139" s="302"/>
      <c r="U139" s="315"/>
      <c r="V139" s="326"/>
      <c r="W139" s="55" t="s">
        <v>303</v>
      </c>
      <c r="X139" s="55" t="s">
        <v>334</v>
      </c>
      <c r="Y139" s="56">
        <v>59840</v>
      </c>
      <c r="Z139" s="302"/>
    </row>
    <row r="140" spans="6:26" ht="15" thickBot="1" x14ac:dyDescent="0.35">
      <c r="T140" s="302"/>
      <c r="U140" s="315"/>
      <c r="V140" s="326"/>
      <c r="W140" s="55" t="s">
        <v>305</v>
      </c>
      <c r="X140" s="55" t="s">
        <v>331</v>
      </c>
      <c r="Y140" s="56">
        <v>2992</v>
      </c>
      <c r="Z140" s="302"/>
    </row>
    <row r="141" spans="6:26" ht="15" thickBot="1" x14ac:dyDescent="0.35">
      <c r="T141" s="302"/>
      <c r="U141" s="315"/>
      <c r="V141" s="308"/>
      <c r="W141" s="55" t="s">
        <v>305</v>
      </c>
      <c r="X141" s="55" t="s">
        <v>332</v>
      </c>
      <c r="Y141" s="56">
        <v>14960</v>
      </c>
      <c r="Z141" s="302"/>
    </row>
    <row r="142" spans="6:26" ht="15" thickBot="1" x14ac:dyDescent="0.35">
      <c r="T142" s="302"/>
      <c r="U142" s="315"/>
      <c r="V142" s="307" t="s">
        <v>284</v>
      </c>
      <c r="W142" s="55" t="s">
        <v>303</v>
      </c>
      <c r="X142" s="55" t="s">
        <v>331</v>
      </c>
      <c r="Y142" s="56">
        <v>2992</v>
      </c>
      <c r="Z142" s="302"/>
    </row>
    <row r="143" spans="6:26" ht="15" thickBot="1" x14ac:dyDescent="0.35">
      <c r="T143" s="302"/>
      <c r="U143" s="315"/>
      <c r="V143" s="326"/>
      <c r="W143" s="55" t="s">
        <v>303</v>
      </c>
      <c r="X143" s="55" t="s">
        <v>332</v>
      </c>
      <c r="Y143" s="56">
        <v>14960</v>
      </c>
      <c r="Z143" s="302"/>
    </row>
    <row r="144" spans="6:26" ht="15" thickBot="1" x14ac:dyDescent="0.35">
      <c r="T144" s="302"/>
      <c r="U144" s="315"/>
      <c r="V144" s="326"/>
      <c r="W144" s="55" t="s">
        <v>305</v>
      </c>
      <c r="X144" s="55" t="s">
        <v>329</v>
      </c>
      <c r="Y144" s="56">
        <v>14960</v>
      </c>
      <c r="Z144" s="302"/>
    </row>
    <row r="145" spans="6:26" ht="15" thickBot="1" x14ac:dyDescent="0.35">
      <c r="T145" s="303"/>
      <c r="U145" s="316"/>
      <c r="V145" s="308"/>
      <c r="W145" s="55" t="s">
        <v>305</v>
      </c>
      <c r="X145" s="55" t="s">
        <v>331</v>
      </c>
      <c r="Y145" s="56">
        <v>14960</v>
      </c>
      <c r="Z145" s="303"/>
    </row>
    <row r="146" spans="6:26" ht="15" thickBot="1" x14ac:dyDescent="0.35">
      <c r="T146" s="320" t="s">
        <v>287</v>
      </c>
      <c r="U146" s="334">
        <v>748</v>
      </c>
      <c r="V146" s="57" t="s">
        <v>281</v>
      </c>
      <c r="W146" s="57" t="s">
        <v>305</v>
      </c>
      <c r="X146" s="57" t="s">
        <v>334</v>
      </c>
      <c r="Y146" s="58">
        <v>299200</v>
      </c>
      <c r="Z146" s="320" t="s">
        <v>336</v>
      </c>
    </row>
    <row r="147" spans="6:26" ht="15" thickBot="1" x14ac:dyDescent="0.35">
      <c r="T147" s="321"/>
      <c r="U147" s="335"/>
      <c r="V147" s="323" t="s">
        <v>284</v>
      </c>
      <c r="W147" s="57" t="s">
        <v>303</v>
      </c>
      <c r="X147" s="57" t="s">
        <v>334</v>
      </c>
      <c r="Y147" s="58">
        <v>299200</v>
      </c>
      <c r="Z147" s="321"/>
    </row>
    <row r="148" spans="6:26" ht="15" thickBot="1" x14ac:dyDescent="0.35">
      <c r="T148" s="321"/>
      <c r="U148" s="335"/>
      <c r="V148" s="324"/>
      <c r="W148" s="57" t="s">
        <v>305</v>
      </c>
      <c r="X148" s="57" t="s">
        <v>332</v>
      </c>
      <c r="Y148" s="58">
        <v>74800</v>
      </c>
      <c r="Z148" s="321"/>
    </row>
    <row r="149" spans="6:26" ht="15" thickBot="1" x14ac:dyDescent="0.35">
      <c r="T149" s="322"/>
      <c r="U149" s="336"/>
      <c r="V149" s="325"/>
      <c r="W149" s="57" t="s">
        <v>305</v>
      </c>
      <c r="X149" s="57" t="s">
        <v>334</v>
      </c>
      <c r="Y149" s="58">
        <v>1496000</v>
      </c>
      <c r="Z149" s="322"/>
    </row>
    <row r="152" spans="6:26" x14ac:dyDescent="0.3">
      <c r="L152" t="s">
        <v>338</v>
      </c>
    </row>
    <row r="153" spans="6:26" ht="15" thickBot="1" x14ac:dyDescent="0.35"/>
    <row r="154" spans="6:26" ht="24" customHeight="1" x14ac:dyDescent="0.3">
      <c r="F154" s="61" t="s">
        <v>339</v>
      </c>
      <c r="T154" s="289" t="s">
        <v>1062</v>
      </c>
      <c r="U154" s="49" t="s">
        <v>324</v>
      </c>
      <c r="V154" s="49" t="s">
        <v>346</v>
      </c>
      <c r="W154" s="49" t="s">
        <v>225</v>
      </c>
      <c r="X154" s="289" t="s">
        <v>327</v>
      </c>
      <c r="Y154" s="49" t="s">
        <v>273</v>
      </c>
      <c r="Z154" s="49" t="s">
        <v>347</v>
      </c>
    </row>
    <row r="155" spans="6:26" ht="15" thickBot="1" x14ac:dyDescent="0.35">
      <c r="T155" s="291"/>
      <c r="U155" s="50" t="s">
        <v>274</v>
      </c>
      <c r="V155" s="50" t="s">
        <v>274</v>
      </c>
      <c r="W155" s="50" t="s">
        <v>326</v>
      </c>
      <c r="X155" s="291"/>
      <c r="Y155" s="50" t="s">
        <v>274</v>
      </c>
      <c r="Z155" s="50" t="s">
        <v>274</v>
      </c>
    </row>
    <row r="156" spans="6:26" ht="15" thickBot="1" x14ac:dyDescent="0.35">
      <c r="F156" s="62" t="s">
        <v>262</v>
      </c>
      <c r="T156" s="328" t="s">
        <v>276</v>
      </c>
      <c r="U156" s="337">
        <v>13754</v>
      </c>
      <c r="V156" s="337">
        <v>1341</v>
      </c>
      <c r="W156" s="51" t="s">
        <v>303</v>
      </c>
      <c r="X156" s="51" t="s">
        <v>329</v>
      </c>
      <c r="Y156" s="52">
        <v>55015</v>
      </c>
      <c r="Z156" s="328" t="s">
        <v>348</v>
      </c>
    </row>
    <row r="157" spans="6:26" ht="15" thickBot="1" x14ac:dyDescent="0.35">
      <c r="F157" s="62" t="s">
        <v>340</v>
      </c>
      <c r="G157" s="62" t="s">
        <v>341</v>
      </c>
      <c r="H157" s="62"/>
      <c r="I157" s="62"/>
      <c r="T157" s="329"/>
      <c r="U157" s="338"/>
      <c r="V157" s="338"/>
      <c r="W157" s="51" t="s">
        <v>305</v>
      </c>
      <c r="X157" s="51" t="s">
        <v>329</v>
      </c>
      <c r="Y157" s="52">
        <v>275076</v>
      </c>
      <c r="Z157" s="329"/>
    </row>
    <row r="158" spans="6:26" ht="15" thickBot="1" x14ac:dyDescent="0.35">
      <c r="F158" s="62" t="s">
        <v>342</v>
      </c>
      <c r="G158" s="62" t="s">
        <v>343</v>
      </c>
      <c r="H158" s="62"/>
      <c r="I158" s="62"/>
      <c r="T158" s="329"/>
      <c r="U158" s="338"/>
      <c r="V158" s="338"/>
      <c r="W158" s="51" t="s">
        <v>303</v>
      </c>
      <c r="X158" s="51" t="s">
        <v>331</v>
      </c>
      <c r="Y158" s="52">
        <v>55015</v>
      </c>
      <c r="Z158" s="329"/>
    </row>
    <row r="159" spans="6:26" ht="15.6" thickBot="1" x14ac:dyDescent="0.35">
      <c r="F159" s="62" t="s">
        <v>317</v>
      </c>
      <c r="G159" s="62" t="s">
        <v>318</v>
      </c>
      <c r="H159" s="62"/>
      <c r="I159" s="62"/>
      <c r="T159" s="330"/>
      <c r="U159" s="339"/>
      <c r="V159" s="339"/>
      <c r="W159" s="51" t="s">
        <v>303</v>
      </c>
      <c r="X159" s="51" t="s">
        <v>329</v>
      </c>
      <c r="Y159" s="52">
        <v>55015</v>
      </c>
      <c r="Z159" s="330"/>
    </row>
    <row r="160" spans="6:26" ht="15.6" thickBot="1" x14ac:dyDescent="0.35">
      <c r="F160" s="62" t="s">
        <v>320</v>
      </c>
      <c r="G160" s="62" t="s">
        <v>321</v>
      </c>
      <c r="H160" s="62"/>
      <c r="T160" s="298" t="s">
        <v>282</v>
      </c>
      <c r="U160" s="317">
        <v>63217</v>
      </c>
      <c r="V160" s="317">
        <v>33542</v>
      </c>
      <c r="W160" s="53" t="s">
        <v>349</v>
      </c>
      <c r="X160" s="53" t="s">
        <v>332</v>
      </c>
      <c r="Y160" s="54">
        <v>1740310</v>
      </c>
      <c r="Z160" s="298" t="s">
        <v>350</v>
      </c>
    </row>
    <row r="161" spans="6:26" ht="15" thickBot="1" x14ac:dyDescent="0.35">
      <c r="F161" s="62" t="s">
        <v>344</v>
      </c>
      <c r="G161" s="62" t="s">
        <v>345</v>
      </c>
      <c r="H161" s="62"/>
      <c r="I161" s="62"/>
      <c r="T161" s="299"/>
      <c r="U161" s="318"/>
      <c r="V161" s="318"/>
      <c r="W161" s="53" t="s">
        <v>349</v>
      </c>
      <c r="X161" s="53" t="s">
        <v>351</v>
      </c>
      <c r="Y161" s="54">
        <v>33605067</v>
      </c>
      <c r="Z161" s="299"/>
    </row>
    <row r="162" spans="6:26" ht="15" thickBot="1" x14ac:dyDescent="0.35">
      <c r="T162" s="299"/>
      <c r="U162" s="318"/>
      <c r="V162" s="318"/>
      <c r="W162" s="53" t="s">
        <v>352</v>
      </c>
      <c r="X162" s="53" t="s">
        <v>331</v>
      </c>
      <c r="Y162" s="54">
        <v>96759</v>
      </c>
      <c r="Z162" s="299"/>
    </row>
    <row r="163" spans="6:26" ht="15" thickBot="1" x14ac:dyDescent="0.35">
      <c r="T163" s="299"/>
      <c r="U163" s="318"/>
      <c r="V163" s="318"/>
      <c r="W163" s="53" t="s">
        <v>352</v>
      </c>
      <c r="X163" s="53" t="s">
        <v>353</v>
      </c>
      <c r="Y163" s="54">
        <v>1740310</v>
      </c>
      <c r="Z163" s="299"/>
    </row>
    <row r="164" spans="6:26" ht="15" thickBot="1" x14ac:dyDescent="0.35">
      <c r="T164" s="299"/>
      <c r="U164" s="318"/>
      <c r="V164" s="318"/>
      <c r="W164" s="53" t="s">
        <v>349</v>
      </c>
      <c r="X164" s="53" t="s">
        <v>331</v>
      </c>
      <c r="Y164" s="54">
        <v>96759</v>
      </c>
      <c r="Z164" s="299"/>
    </row>
    <row r="165" spans="6:26" ht="15" thickBot="1" x14ac:dyDescent="0.35">
      <c r="T165" s="299"/>
      <c r="U165" s="318"/>
      <c r="V165" s="318"/>
      <c r="W165" s="53" t="s">
        <v>352</v>
      </c>
      <c r="X165" s="53" t="s">
        <v>329</v>
      </c>
      <c r="Y165" s="54">
        <v>96759</v>
      </c>
      <c r="Z165" s="299"/>
    </row>
    <row r="166" spans="6:26" ht="15" thickBot="1" x14ac:dyDescent="0.35">
      <c r="T166" s="300"/>
      <c r="U166" s="319"/>
      <c r="V166" s="319"/>
      <c r="W166" s="53" t="s">
        <v>349</v>
      </c>
      <c r="X166" s="53" t="s">
        <v>329</v>
      </c>
      <c r="Y166" s="54">
        <v>96759</v>
      </c>
      <c r="Z166" s="300"/>
    </row>
    <row r="167" spans="6:26" ht="15" thickBot="1" x14ac:dyDescent="0.35">
      <c r="T167" s="301" t="s">
        <v>285</v>
      </c>
      <c r="U167" s="301" t="s">
        <v>354</v>
      </c>
      <c r="V167" s="314">
        <v>33542</v>
      </c>
      <c r="W167" s="55" t="s">
        <v>352</v>
      </c>
      <c r="X167" s="55" t="s">
        <v>351</v>
      </c>
      <c r="Y167" s="56">
        <v>38973118</v>
      </c>
      <c r="Z167" s="301" t="s">
        <v>355</v>
      </c>
    </row>
    <row r="168" spans="6:26" ht="15" thickBot="1" x14ac:dyDescent="0.35">
      <c r="T168" s="302"/>
      <c r="U168" s="302"/>
      <c r="V168" s="315"/>
      <c r="W168" s="55" t="s">
        <v>349</v>
      </c>
      <c r="X168" s="55" t="s">
        <v>353</v>
      </c>
      <c r="Y168" s="56">
        <v>7108361</v>
      </c>
      <c r="Z168" s="302"/>
    </row>
    <row r="169" spans="6:26" ht="15" thickBot="1" x14ac:dyDescent="0.35">
      <c r="T169" s="302"/>
      <c r="U169" s="302"/>
      <c r="V169" s="315"/>
      <c r="W169" s="55" t="s">
        <v>349</v>
      </c>
      <c r="X169" s="55" t="s">
        <v>351</v>
      </c>
      <c r="Y169" s="56">
        <v>38973118</v>
      </c>
      <c r="Z169" s="302"/>
    </row>
    <row r="170" spans="6:26" ht="15" thickBot="1" x14ac:dyDescent="0.35">
      <c r="T170" s="302"/>
      <c r="U170" s="302"/>
      <c r="V170" s="315"/>
      <c r="W170" s="55" t="s">
        <v>352</v>
      </c>
      <c r="X170" s="55" t="s">
        <v>331</v>
      </c>
      <c r="Y170" s="56">
        <v>5464810</v>
      </c>
      <c r="Z170" s="302"/>
    </row>
    <row r="171" spans="6:26" ht="15" thickBot="1" x14ac:dyDescent="0.35">
      <c r="T171" s="302"/>
      <c r="U171" s="302"/>
      <c r="V171" s="315"/>
      <c r="W171" s="55" t="s">
        <v>352</v>
      </c>
      <c r="X171" s="55" t="s">
        <v>353</v>
      </c>
      <c r="Y171" s="56">
        <v>7108361</v>
      </c>
      <c r="Z171" s="302"/>
    </row>
    <row r="172" spans="6:26" ht="15" thickBot="1" x14ac:dyDescent="0.35">
      <c r="T172" s="302"/>
      <c r="U172" s="302"/>
      <c r="V172" s="315"/>
      <c r="W172" s="55" t="s">
        <v>349</v>
      </c>
      <c r="X172" s="55" t="s">
        <v>331</v>
      </c>
      <c r="Y172" s="56">
        <v>5464810</v>
      </c>
      <c r="Z172" s="302"/>
    </row>
    <row r="173" spans="6:26" ht="15" thickBot="1" x14ac:dyDescent="0.35">
      <c r="T173" s="302"/>
      <c r="U173" s="302"/>
      <c r="V173" s="315"/>
      <c r="W173" s="55" t="s">
        <v>349</v>
      </c>
      <c r="X173" s="55" t="s">
        <v>353</v>
      </c>
      <c r="Y173" s="56">
        <v>7108361</v>
      </c>
      <c r="Z173" s="302"/>
    </row>
    <row r="174" spans="6:26" ht="15" thickBot="1" x14ac:dyDescent="0.35">
      <c r="T174" s="302"/>
      <c r="U174" s="302"/>
      <c r="V174" s="315"/>
      <c r="W174" s="55" t="s">
        <v>352</v>
      </c>
      <c r="X174" s="55" t="s">
        <v>329</v>
      </c>
      <c r="Y174" s="56">
        <v>5464810</v>
      </c>
      <c r="Z174" s="302"/>
    </row>
    <row r="175" spans="6:26" ht="15" thickBot="1" x14ac:dyDescent="0.35">
      <c r="T175" s="303"/>
      <c r="U175" s="303"/>
      <c r="V175" s="316"/>
      <c r="W175" s="55" t="s">
        <v>352</v>
      </c>
      <c r="X175" s="55" t="s">
        <v>331</v>
      </c>
      <c r="Y175" s="56">
        <v>5464810</v>
      </c>
      <c r="Z175" s="303"/>
    </row>
    <row r="176" spans="6:26" ht="15" thickBot="1" x14ac:dyDescent="0.35">
      <c r="T176" s="320" t="s">
        <v>287</v>
      </c>
      <c r="U176" s="320" t="s">
        <v>356</v>
      </c>
      <c r="V176" s="334">
        <v>33542</v>
      </c>
      <c r="W176" s="57" t="s">
        <v>352</v>
      </c>
      <c r="X176" s="57" t="s">
        <v>351</v>
      </c>
      <c r="Y176" s="58">
        <v>315444516</v>
      </c>
      <c r="Z176" s="320" t="s">
        <v>357</v>
      </c>
    </row>
    <row r="177" spans="6:27" ht="15" thickBot="1" x14ac:dyDescent="0.35">
      <c r="T177" s="321"/>
      <c r="U177" s="321"/>
      <c r="V177" s="335"/>
      <c r="W177" s="57" t="s">
        <v>349</v>
      </c>
      <c r="X177" s="57" t="s">
        <v>351</v>
      </c>
      <c r="Y177" s="58">
        <v>315444516</v>
      </c>
      <c r="Z177" s="321"/>
    </row>
    <row r="178" spans="6:27" ht="15" thickBot="1" x14ac:dyDescent="0.35">
      <c r="T178" s="321"/>
      <c r="U178" s="321"/>
      <c r="V178" s="335"/>
      <c r="W178" s="57" t="s">
        <v>352</v>
      </c>
      <c r="X178" s="57" t="s">
        <v>353</v>
      </c>
      <c r="Y178" s="58">
        <v>283579759</v>
      </c>
      <c r="Z178" s="321"/>
    </row>
    <row r="179" spans="6:27" ht="15" thickBot="1" x14ac:dyDescent="0.35">
      <c r="T179" s="322"/>
      <c r="U179" s="322"/>
      <c r="V179" s="336"/>
      <c r="W179" s="57" t="s">
        <v>352</v>
      </c>
      <c r="X179" s="57" t="s">
        <v>351</v>
      </c>
      <c r="Y179" s="58">
        <v>315444516</v>
      </c>
      <c r="Z179" s="322"/>
    </row>
    <row r="181" spans="6:27" x14ac:dyDescent="0.3">
      <c r="F181" s="61" t="s">
        <v>358</v>
      </c>
    </row>
    <row r="183" spans="6:27" ht="15" thickBot="1" x14ac:dyDescent="0.35">
      <c r="F183" s="62" t="s">
        <v>262</v>
      </c>
      <c r="Q183" t="s">
        <v>376</v>
      </c>
    </row>
    <row r="184" spans="6:27" ht="36" customHeight="1" x14ac:dyDescent="0.3">
      <c r="F184" s="62" t="s">
        <v>359</v>
      </c>
      <c r="G184" s="62" t="s">
        <v>360</v>
      </c>
      <c r="H184" s="62"/>
      <c r="I184" s="62"/>
      <c r="T184" s="289" t="s">
        <v>1062</v>
      </c>
      <c r="U184" s="49" t="s">
        <v>365</v>
      </c>
      <c r="V184" s="289" t="s">
        <v>272</v>
      </c>
      <c r="W184" s="49" t="s">
        <v>225</v>
      </c>
      <c r="X184" s="49" t="s">
        <v>366</v>
      </c>
      <c r="Y184" s="49" t="s">
        <v>368</v>
      </c>
      <c r="Z184" s="49" t="s">
        <v>273</v>
      </c>
      <c r="AA184" s="49" t="s">
        <v>369</v>
      </c>
    </row>
    <row r="185" spans="6:27" ht="15" thickBot="1" x14ac:dyDescent="0.35">
      <c r="F185" s="62" t="s">
        <v>361</v>
      </c>
      <c r="G185" s="62" t="s">
        <v>362</v>
      </c>
      <c r="H185" s="62"/>
      <c r="I185" s="62"/>
      <c r="T185" s="291"/>
      <c r="U185" s="50" t="s">
        <v>274</v>
      </c>
      <c r="V185" s="291"/>
      <c r="W185" s="50" t="s">
        <v>326</v>
      </c>
      <c r="X185" s="50" t="s">
        <v>367</v>
      </c>
      <c r="Y185" s="50" t="s">
        <v>367</v>
      </c>
      <c r="Z185" s="50" t="s">
        <v>274</v>
      </c>
      <c r="AA185" s="50" t="s">
        <v>274</v>
      </c>
    </row>
    <row r="186" spans="6:27" ht="15.6" thickBot="1" x14ac:dyDescent="0.35">
      <c r="F186" s="62" t="s">
        <v>317</v>
      </c>
      <c r="G186" s="62" t="s">
        <v>318</v>
      </c>
      <c r="H186" s="62"/>
      <c r="I186" s="62"/>
      <c r="T186" s="328" t="s">
        <v>276</v>
      </c>
      <c r="U186" s="331" t="s">
        <v>370</v>
      </c>
      <c r="V186" s="331" t="s">
        <v>277</v>
      </c>
      <c r="W186" s="51" t="s">
        <v>303</v>
      </c>
      <c r="X186" s="51" t="s">
        <v>329</v>
      </c>
      <c r="Y186" s="328">
        <v>5</v>
      </c>
      <c r="Z186" s="52">
        <v>17734</v>
      </c>
      <c r="AA186" s="328" t="s">
        <v>371</v>
      </c>
    </row>
    <row r="187" spans="6:27" ht="15.6" thickBot="1" x14ac:dyDescent="0.35">
      <c r="F187" s="62" t="s">
        <v>320</v>
      </c>
      <c r="G187" s="62" t="s">
        <v>321</v>
      </c>
      <c r="H187" s="62"/>
      <c r="T187" s="329"/>
      <c r="U187" s="332"/>
      <c r="V187" s="332"/>
      <c r="W187" s="51" t="s">
        <v>305</v>
      </c>
      <c r="X187" s="51" t="s">
        <v>329</v>
      </c>
      <c r="Y187" s="329"/>
      <c r="Z187" s="52">
        <v>88668</v>
      </c>
      <c r="AA187" s="329"/>
    </row>
    <row r="188" spans="6:27" ht="15" thickBot="1" x14ac:dyDescent="0.35">
      <c r="F188" s="62" t="s">
        <v>363</v>
      </c>
      <c r="G188" s="62" t="s">
        <v>364</v>
      </c>
      <c r="H188" s="62"/>
      <c r="I188" s="62"/>
      <c r="T188" s="329"/>
      <c r="U188" s="332"/>
      <c r="V188" s="333"/>
      <c r="W188" s="51" t="s">
        <v>303</v>
      </c>
      <c r="X188" s="51" t="s">
        <v>331</v>
      </c>
      <c r="Y188" s="329"/>
      <c r="Z188" s="52">
        <v>17734</v>
      </c>
      <c r="AA188" s="329"/>
    </row>
    <row r="189" spans="6:27" ht="15" thickBot="1" x14ac:dyDescent="0.35">
      <c r="F189" s="62" t="s">
        <v>269</v>
      </c>
      <c r="G189" s="62" t="s">
        <v>319</v>
      </c>
      <c r="H189" s="62"/>
      <c r="I189" s="62"/>
      <c r="T189" s="329"/>
      <c r="U189" s="333"/>
      <c r="V189" s="51" t="s">
        <v>281</v>
      </c>
      <c r="W189" s="51" t="s">
        <v>303</v>
      </c>
      <c r="X189" s="51" t="s">
        <v>329</v>
      </c>
      <c r="Y189" s="330"/>
      <c r="Z189" s="52">
        <v>35467</v>
      </c>
      <c r="AA189" s="329"/>
    </row>
    <row r="190" spans="6:27" ht="15" thickBot="1" x14ac:dyDescent="0.35">
      <c r="T190" s="329"/>
      <c r="U190" s="331" t="s">
        <v>372</v>
      </c>
      <c r="V190" s="331" t="s">
        <v>277</v>
      </c>
      <c r="W190" s="51" t="s">
        <v>303</v>
      </c>
      <c r="X190" s="51" t="s">
        <v>329</v>
      </c>
      <c r="Y190" s="328">
        <v>20</v>
      </c>
      <c r="Z190" s="52">
        <v>564724</v>
      </c>
      <c r="AA190" s="329"/>
    </row>
    <row r="191" spans="6:27" ht="15" thickBot="1" x14ac:dyDescent="0.35">
      <c r="T191" s="329"/>
      <c r="U191" s="332"/>
      <c r="V191" s="332"/>
      <c r="W191" s="51" t="s">
        <v>305</v>
      </c>
      <c r="X191" s="51" t="s">
        <v>329</v>
      </c>
      <c r="Y191" s="329"/>
      <c r="Z191" s="52">
        <v>28323618</v>
      </c>
      <c r="AA191" s="329"/>
    </row>
    <row r="192" spans="6:27" ht="15" thickBot="1" x14ac:dyDescent="0.35">
      <c r="T192" s="329"/>
      <c r="U192" s="332"/>
      <c r="V192" s="333"/>
      <c r="W192" s="51" t="s">
        <v>303</v>
      </c>
      <c r="X192" s="51" t="s">
        <v>331</v>
      </c>
      <c r="Y192" s="329"/>
      <c r="Z192" s="52">
        <v>564724</v>
      </c>
      <c r="AA192" s="329"/>
    </row>
    <row r="193" spans="20:27" ht="15" thickBot="1" x14ac:dyDescent="0.35">
      <c r="T193" s="330"/>
      <c r="U193" s="333"/>
      <c r="V193" s="51" t="s">
        <v>281</v>
      </c>
      <c r="W193" s="51" t="s">
        <v>303</v>
      </c>
      <c r="X193" s="51" t="s">
        <v>329</v>
      </c>
      <c r="Y193" s="330"/>
      <c r="Z193" s="52">
        <v>1129447</v>
      </c>
      <c r="AA193" s="330"/>
    </row>
    <row r="194" spans="20:27" ht="15" thickBot="1" x14ac:dyDescent="0.35">
      <c r="T194" s="298" t="s">
        <v>282</v>
      </c>
      <c r="U194" s="312" t="s">
        <v>370</v>
      </c>
      <c r="V194" s="312" t="s">
        <v>277</v>
      </c>
      <c r="W194" s="53" t="s">
        <v>303</v>
      </c>
      <c r="X194" s="53" t="s">
        <v>353</v>
      </c>
      <c r="Y194" s="298">
        <v>5</v>
      </c>
      <c r="Z194" s="54">
        <v>162558</v>
      </c>
      <c r="AA194" s="298" t="s">
        <v>373</v>
      </c>
    </row>
    <row r="195" spans="20:27" ht="15" thickBot="1" x14ac:dyDescent="0.35">
      <c r="T195" s="299"/>
      <c r="U195" s="327"/>
      <c r="V195" s="327"/>
      <c r="W195" s="53" t="s">
        <v>303</v>
      </c>
      <c r="X195" s="53" t="s">
        <v>351</v>
      </c>
      <c r="Y195" s="299"/>
      <c r="Z195" s="54">
        <v>2970378</v>
      </c>
      <c r="AA195" s="299"/>
    </row>
    <row r="196" spans="20:27" ht="15" thickBot="1" x14ac:dyDescent="0.35">
      <c r="T196" s="299"/>
      <c r="U196" s="327"/>
      <c r="V196" s="327"/>
      <c r="W196" s="53" t="s">
        <v>305</v>
      </c>
      <c r="X196" s="53" t="s">
        <v>331</v>
      </c>
      <c r="Y196" s="299"/>
      <c r="Z196" s="54">
        <v>88668</v>
      </c>
      <c r="AA196" s="299"/>
    </row>
    <row r="197" spans="20:27" ht="15" thickBot="1" x14ac:dyDescent="0.35">
      <c r="T197" s="299"/>
      <c r="U197" s="327"/>
      <c r="V197" s="313"/>
      <c r="W197" s="53" t="s">
        <v>305</v>
      </c>
      <c r="X197" s="53" t="s">
        <v>353</v>
      </c>
      <c r="Y197" s="299"/>
      <c r="Z197" s="54">
        <v>812790</v>
      </c>
      <c r="AA197" s="299"/>
    </row>
    <row r="198" spans="20:27" ht="15" thickBot="1" x14ac:dyDescent="0.35">
      <c r="T198" s="299"/>
      <c r="U198" s="327"/>
      <c r="V198" s="312" t="s">
        <v>281</v>
      </c>
      <c r="W198" s="53" t="s">
        <v>303</v>
      </c>
      <c r="X198" s="53" t="s">
        <v>331</v>
      </c>
      <c r="Y198" s="299"/>
      <c r="Z198" s="54">
        <v>35467</v>
      </c>
      <c r="AA198" s="299"/>
    </row>
    <row r="199" spans="20:27" ht="15" thickBot="1" x14ac:dyDescent="0.35">
      <c r="T199" s="299"/>
      <c r="U199" s="327"/>
      <c r="V199" s="313"/>
      <c r="W199" s="53" t="s">
        <v>305</v>
      </c>
      <c r="X199" s="53" t="s">
        <v>329</v>
      </c>
      <c r="Y199" s="299"/>
      <c r="Z199" s="54">
        <v>177336</v>
      </c>
      <c r="AA199" s="299"/>
    </row>
    <row r="200" spans="20:27" ht="15" thickBot="1" x14ac:dyDescent="0.35">
      <c r="T200" s="299"/>
      <c r="U200" s="313"/>
      <c r="V200" s="53" t="s">
        <v>284</v>
      </c>
      <c r="W200" s="53" t="s">
        <v>303</v>
      </c>
      <c r="X200" s="53" t="s">
        <v>329</v>
      </c>
      <c r="Y200" s="300"/>
      <c r="Z200" s="54">
        <v>177336</v>
      </c>
      <c r="AA200" s="299"/>
    </row>
    <row r="201" spans="20:27" ht="15" thickBot="1" x14ac:dyDescent="0.35">
      <c r="T201" s="299"/>
      <c r="U201" s="312" t="s">
        <v>372</v>
      </c>
      <c r="V201" s="312" t="s">
        <v>277</v>
      </c>
      <c r="W201" s="53" t="s">
        <v>303</v>
      </c>
      <c r="X201" s="53" t="s">
        <v>353</v>
      </c>
      <c r="Y201" s="298">
        <v>20</v>
      </c>
      <c r="Z201" s="54">
        <v>1882412</v>
      </c>
      <c r="AA201" s="299"/>
    </row>
    <row r="202" spans="20:27" ht="15" thickBot="1" x14ac:dyDescent="0.35">
      <c r="T202" s="299"/>
      <c r="U202" s="327"/>
      <c r="V202" s="327"/>
      <c r="W202" s="53" t="s">
        <v>303</v>
      </c>
      <c r="X202" s="53" t="s">
        <v>351</v>
      </c>
      <c r="Y202" s="299"/>
      <c r="Z202" s="54">
        <v>27429432</v>
      </c>
      <c r="AA202" s="299"/>
    </row>
    <row r="203" spans="20:27" ht="15" thickBot="1" x14ac:dyDescent="0.35">
      <c r="T203" s="299"/>
      <c r="U203" s="327"/>
      <c r="V203" s="327"/>
      <c r="W203" s="53" t="s">
        <v>305</v>
      </c>
      <c r="X203" s="53" t="s">
        <v>331</v>
      </c>
      <c r="Y203" s="299"/>
      <c r="Z203" s="54">
        <v>2823618</v>
      </c>
      <c r="AA203" s="299"/>
    </row>
    <row r="204" spans="20:27" ht="15" thickBot="1" x14ac:dyDescent="0.35">
      <c r="T204" s="299"/>
      <c r="U204" s="327"/>
      <c r="V204" s="313"/>
      <c r="W204" s="53" t="s">
        <v>305</v>
      </c>
      <c r="X204" s="53" t="s">
        <v>353</v>
      </c>
      <c r="Y204" s="299"/>
      <c r="Z204" s="54">
        <v>9412060</v>
      </c>
      <c r="AA204" s="299"/>
    </row>
    <row r="205" spans="20:27" ht="15" thickBot="1" x14ac:dyDescent="0.35">
      <c r="T205" s="299"/>
      <c r="U205" s="327"/>
      <c r="V205" s="312" t="s">
        <v>281</v>
      </c>
      <c r="W205" s="53" t="s">
        <v>303</v>
      </c>
      <c r="X205" s="53" t="s">
        <v>331</v>
      </c>
      <c r="Y205" s="299"/>
      <c r="Z205" s="54">
        <v>1129477</v>
      </c>
      <c r="AA205" s="299"/>
    </row>
    <row r="206" spans="20:27" ht="15" thickBot="1" x14ac:dyDescent="0.35">
      <c r="T206" s="299"/>
      <c r="U206" s="327"/>
      <c r="V206" s="313"/>
      <c r="W206" s="53" t="s">
        <v>305</v>
      </c>
      <c r="X206" s="53" t="s">
        <v>329</v>
      </c>
      <c r="Y206" s="299"/>
      <c r="Z206" s="54">
        <v>5647236</v>
      </c>
      <c r="AA206" s="299"/>
    </row>
    <row r="207" spans="20:27" ht="15" thickBot="1" x14ac:dyDescent="0.35">
      <c r="T207" s="300"/>
      <c r="U207" s="313"/>
      <c r="V207" s="53" t="s">
        <v>284</v>
      </c>
      <c r="W207" s="53" t="s">
        <v>303</v>
      </c>
      <c r="X207" s="53" t="s">
        <v>329</v>
      </c>
      <c r="Y207" s="300"/>
      <c r="Z207" s="54">
        <v>5647236</v>
      </c>
      <c r="AA207" s="300"/>
    </row>
    <row r="208" spans="20:27" ht="15" thickBot="1" x14ac:dyDescent="0.35">
      <c r="T208" s="301" t="s">
        <v>285</v>
      </c>
      <c r="U208" s="307" t="s">
        <v>370</v>
      </c>
      <c r="V208" s="55" t="s">
        <v>277</v>
      </c>
      <c r="W208" s="55" t="s">
        <v>305</v>
      </c>
      <c r="X208" s="55" t="s">
        <v>351</v>
      </c>
      <c r="Y208" s="301">
        <v>5</v>
      </c>
      <c r="Z208" s="56">
        <v>14851890</v>
      </c>
      <c r="AA208" s="301" t="s">
        <v>374</v>
      </c>
    </row>
    <row r="209" spans="20:27" ht="15" thickBot="1" x14ac:dyDescent="0.35">
      <c r="T209" s="302"/>
      <c r="U209" s="326"/>
      <c r="V209" s="307" t="s">
        <v>281</v>
      </c>
      <c r="W209" s="55" t="s">
        <v>303</v>
      </c>
      <c r="X209" s="55" t="s">
        <v>353</v>
      </c>
      <c r="Y209" s="302"/>
      <c r="Z209" s="56">
        <v>325116</v>
      </c>
      <c r="AA209" s="302"/>
    </row>
    <row r="210" spans="20:27" ht="15" thickBot="1" x14ac:dyDescent="0.35">
      <c r="T210" s="302"/>
      <c r="U210" s="326"/>
      <c r="V210" s="326"/>
      <c r="W210" s="55" t="s">
        <v>303</v>
      </c>
      <c r="X210" s="55" t="s">
        <v>351</v>
      </c>
      <c r="Y210" s="302"/>
      <c r="Z210" s="56">
        <v>5940756</v>
      </c>
      <c r="AA210" s="302"/>
    </row>
    <row r="211" spans="20:27" ht="15" thickBot="1" x14ac:dyDescent="0.35">
      <c r="T211" s="302"/>
      <c r="U211" s="326"/>
      <c r="V211" s="326"/>
      <c r="W211" s="55" t="s">
        <v>305</v>
      </c>
      <c r="X211" s="55" t="s">
        <v>331</v>
      </c>
      <c r="Y211" s="302"/>
      <c r="Z211" s="56">
        <v>177336</v>
      </c>
      <c r="AA211" s="302"/>
    </row>
    <row r="212" spans="20:27" ht="15" thickBot="1" x14ac:dyDescent="0.35">
      <c r="T212" s="302"/>
      <c r="U212" s="326"/>
      <c r="V212" s="308"/>
      <c r="W212" s="55" t="s">
        <v>305</v>
      </c>
      <c r="X212" s="55" t="s">
        <v>353</v>
      </c>
      <c r="Y212" s="302"/>
      <c r="Z212" s="56">
        <v>1625580</v>
      </c>
      <c r="AA212" s="302"/>
    </row>
    <row r="213" spans="20:27" ht="15" thickBot="1" x14ac:dyDescent="0.35">
      <c r="T213" s="302"/>
      <c r="U213" s="326"/>
      <c r="V213" s="307" t="s">
        <v>284</v>
      </c>
      <c r="W213" s="55" t="s">
        <v>303</v>
      </c>
      <c r="X213" s="55" t="s">
        <v>331</v>
      </c>
      <c r="Y213" s="302"/>
      <c r="Z213" s="56">
        <v>177336</v>
      </c>
      <c r="AA213" s="302"/>
    </row>
    <row r="214" spans="20:27" ht="15" thickBot="1" x14ac:dyDescent="0.35">
      <c r="T214" s="302"/>
      <c r="U214" s="326"/>
      <c r="V214" s="326"/>
      <c r="W214" s="55" t="s">
        <v>303</v>
      </c>
      <c r="X214" s="55" t="s">
        <v>353</v>
      </c>
      <c r="Y214" s="302"/>
      <c r="Z214" s="56">
        <v>1625580</v>
      </c>
      <c r="AA214" s="302"/>
    </row>
    <row r="215" spans="20:27" ht="15" thickBot="1" x14ac:dyDescent="0.35">
      <c r="T215" s="302"/>
      <c r="U215" s="326"/>
      <c r="V215" s="326"/>
      <c r="W215" s="55" t="s">
        <v>305</v>
      </c>
      <c r="X215" s="55" t="s">
        <v>329</v>
      </c>
      <c r="Y215" s="302"/>
      <c r="Z215" s="56">
        <v>886680</v>
      </c>
      <c r="AA215" s="302"/>
    </row>
    <row r="216" spans="20:27" ht="15" thickBot="1" x14ac:dyDescent="0.35">
      <c r="T216" s="302"/>
      <c r="U216" s="308"/>
      <c r="V216" s="308"/>
      <c r="W216" s="55" t="s">
        <v>305</v>
      </c>
      <c r="X216" s="55" t="s">
        <v>331</v>
      </c>
      <c r="Y216" s="303"/>
      <c r="Z216" s="56">
        <v>886680</v>
      </c>
      <c r="AA216" s="302"/>
    </row>
    <row r="217" spans="20:27" ht="15" thickBot="1" x14ac:dyDescent="0.35">
      <c r="T217" s="302"/>
      <c r="U217" s="307" t="s">
        <v>372</v>
      </c>
      <c r="V217" s="55" t="s">
        <v>277</v>
      </c>
      <c r="W217" s="55" t="s">
        <v>305</v>
      </c>
      <c r="X217" s="55" t="s">
        <v>351</v>
      </c>
      <c r="Y217" s="301">
        <v>20</v>
      </c>
      <c r="Z217" s="56">
        <v>137147160</v>
      </c>
      <c r="AA217" s="302"/>
    </row>
    <row r="218" spans="20:27" ht="15" thickBot="1" x14ac:dyDescent="0.35">
      <c r="T218" s="302"/>
      <c r="U218" s="326"/>
      <c r="V218" s="307" t="s">
        <v>281</v>
      </c>
      <c r="W218" s="55" t="s">
        <v>303</v>
      </c>
      <c r="X218" s="55" t="s">
        <v>353</v>
      </c>
      <c r="Y218" s="302"/>
      <c r="Z218" s="56">
        <v>3764824</v>
      </c>
      <c r="AA218" s="302"/>
    </row>
    <row r="219" spans="20:27" ht="15" thickBot="1" x14ac:dyDescent="0.35">
      <c r="T219" s="302"/>
      <c r="U219" s="326"/>
      <c r="V219" s="326"/>
      <c r="W219" s="55" t="s">
        <v>303</v>
      </c>
      <c r="X219" s="55" t="s">
        <v>351</v>
      </c>
      <c r="Y219" s="302"/>
      <c r="Z219" s="56">
        <v>54858864</v>
      </c>
      <c r="AA219" s="302"/>
    </row>
    <row r="220" spans="20:27" ht="15" thickBot="1" x14ac:dyDescent="0.35">
      <c r="T220" s="302"/>
      <c r="U220" s="326"/>
      <c r="V220" s="326"/>
      <c r="W220" s="55" t="s">
        <v>305</v>
      </c>
      <c r="X220" s="55" t="s">
        <v>331</v>
      </c>
      <c r="Y220" s="302"/>
      <c r="Z220" s="56">
        <v>5647236</v>
      </c>
      <c r="AA220" s="302"/>
    </row>
    <row r="221" spans="20:27" ht="15" thickBot="1" x14ac:dyDescent="0.35">
      <c r="T221" s="302"/>
      <c r="U221" s="326"/>
      <c r="V221" s="308"/>
      <c r="W221" s="55" t="s">
        <v>305</v>
      </c>
      <c r="X221" s="55" t="s">
        <v>353</v>
      </c>
      <c r="Y221" s="302"/>
      <c r="Z221" s="56">
        <v>18824120</v>
      </c>
      <c r="AA221" s="302"/>
    </row>
    <row r="222" spans="20:27" ht="15" thickBot="1" x14ac:dyDescent="0.35">
      <c r="T222" s="302"/>
      <c r="U222" s="326"/>
      <c r="V222" s="307" t="s">
        <v>284</v>
      </c>
      <c r="W222" s="55" t="s">
        <v>303</v>
      </c>
      <c r="X222" s="55" t="s">
        <v>331</v>
      </c>
      <c r="Y222" s="302"/>
      <c r="Z222" s="56">
        <v>5647236</v>
      </c>
      <c r="AA222" s="302"/>
    </row>
    <row r="223" spans="20:27" ht="15" thickBot="1" x14ac:dyDescent="0.35">
      <c r="T223" s="302"/>
      <c r="U223" s="326"/>
      <c r="V223" s="326"/>
      <c r="W223" s="55" t="s">
        <v>303</v>
      </c>
      <c r="X223" s="55" t="s">
        <v>353</v>
      </c>
      <c r="Y223" s="302"/>
      <c r="Z223" s="56">
        <v>18824120</v>
      </c>
      <c r="AA223" s="302"/>
    </row>
    <row r="224" spans="20:27" ht="15" thickBot="1" x14ac:dyDescent="0.35">
      <c r="T224" s="302"/>
      <c r="U224" s="326"/>
      <c r="V224" s="326"/>
      <c r="W224" s="55" t="s">
        <v>305</v>
      </c>
      <c r="X224" s="55" t="s">
        <v>329</v>
      </c>
      <c r="Y224" s="302"/>
      <c r="Z224" s="56">
        <v>28236180</v>
      </c>
      <c r="AA224" s="302"/>
    </row>
    <row r="225" spans="9:27" ht="15" thickBot="1" x14ac:dyDescent="0.35">
      <c r="T225" s="303"/>
      <c r="U225" s="308"/>
      <c r="V225" s="308"/>
      <c r="W225" s="55" t="s">
        <v>305</v>
      </c>
      <c r="X225" s="55" t="s">
        <v>331</v>
      </c>
      <c r="Y225" s="303"/>
      <c r="Z225" s="56">
        <v>28236180</v>
      </c>
      <c r="AA225" s="303"/>
    </row>
    <row r="226" spans="9:27" ht="15" thickBot="1" x14ac:dyDescent="0.35">
      <c r="T226" s="320" t="s">
        <v>287</v>
      </c>
      <c r="U226" s="323" t="s">
        <v>370</v>
      </c>
      <c r="V226" s="57" t="s">
        <v>281</v>
      </c>
      <c r="W226" s="57" t="s">
        <v>305</v>
      </c>
      <c r="X226" s="57" t="s">
        <v>351</v>
      </c>
      <c r="Y226" s="320">
        <v>5</v>
      </c>
      <c r="Z226" s="58">
        <v>29703780</v>
      </c>
      <c r="AA226" s="320" t="s">
        <v>375</v>
      </c>
    </row>
    <row r="227" spans="9:27" ht="15" thickBot="1" x14ac:dyDescent="0.35">
      <c r="T227" s="321"/>
      <c r="U227" s="324"/>
      <c r="V227" s="323" t="s">
        <v>284</v>
      </c>
      <c r="W227" s="57" t="s">
        <v>303</v>
      </c>
      <c r="X227" s="57" t="s">
        <v>351</v>
      </c>
      <c r="Y227" s="321"/>
      <c r="Z227" s="58">
        <v>29703780</v>
      </c>
      <c r="AA227" s="321"/>
    </row>
    <row r="228" spans="9:27" ht="15" thickBot="1" x14ac:dyDescent="0.35">
      <c r="T228" s="321"/>
      <c r="U228" s="324"/>
      <c r="V228" s="324"/>
      <c r="W228" s="57" t="s">
        <v>305</v>
      </c>
      <c r="X228" s="57" t="s">
        <v>353</v>
      </c>
      <c r="Y228" s="321"/>
      <c r="Z228" s="58">
        <v>8127900</v>
      </c>
      <c r="AA228" s="321"/>
    </row>
    <row r="229" spans="9:27" ht="15" thickBot="1" x14ac:dyDescent="0.35">
      <c r="T229" s="321"/>
      <c r="U229" s="325"/>
      <c r="V229" s="325"/>
      <c r="W229" s="57" t="s">
        <v>305</v>
      </c>
      <c r="X229" s="57" t="s">
        <v>351</v>
      </c>
      <c r="Y229" s="322"/>
      <c r="Z229" s="58">
        <v>148518900</v>
      </c>
      <c r="AA229" s="321"/>
    </row>
    <row r="230" spans="9:27" ht="15" thickBot="1" x14ac:dyDescent="0.35">
      <c r="T230" s="321"/>
      <c r="U230" s="323" t="s">
        <v>372</v>
      </c>
      <c r="V230" s="57" t="s">
        <v>281</v>
      </c>
      <c r="W230" s="57" t="s">
        <v>305</v>
      </c>
      <c r="X230" s="57" t="s">
        <v>351</v>
      </c>
      <c r="Y230" s="320">
        <v>20</v>
      </c>
      <c r="Z230" s="58">
        <v>274294320</v>
      </c>
      <c r="AA230" s="321"/>
    </row>
    <row r="231" spans="9:27" ht="15" thickBot="1" x14ac:dyDescent="0.35">
      <c r="T231" s="321"/>
      <c r="U231" s="324"/>
      <c r="V231" s="323" t="s">
        <v>284</v>
      </c>
      <c r="W231" s="57" t="s">
        <v>303</v>
      </c>
      <c r="X231" s="57" t="s">
        <v>351</v>
      </c>
      <c r="Y231" s="321"/>
      <c r="Z231" s="58">
        <v>274294320</v>
      </c>
      <c r="AA231" s="321"/>
    </row>
    <row r="232" spans="9:27" ht="15" thickBot="1" x14ac:dyDescent="0.35">
      <c r="T232" s="321"/>
      <c r="U232" s="324"/>
      <c r="V232" s="324"/>
      <c r="W232" s="57" t="s">
        <v>305</v>
      </c>
      <c r="X232" s="57" t="s">
        <v>353</v>
      </c>
      <c r="Y232" s="321"/>
      <c r="Z232" s="58">
        <v>94120600</v>
      </c>
      <c r="AA232" s="321"/>
    </row>
    <row r="233" spans="9:27" ht="15" thickBot="1" x14ac:dyDescent="0.35">
      <c r="T233" s="322"/>
      <c r="U233" s="325"/>
      <c r="V233" s="325"/>
      <c r="W233" s="57" t="s">
        <v>305</v>
      </c>
      <c r="X233" s="57" t="s">
        <v>351</v>
      </c>
      <c r="Y233" s="322"/>
      <c r="Z233" s="58">
        <v>1371471600</v>
      </c>
      <c r="AA233" s="322"/>
    </row>
    <row r="235" spans="9:27" ht="15" thickBot="1" x14ac:dyDescent="0.35">
      <c r="I235" s="61" t="s">
        <v>377</v>
      </c>
    </row>
    <row r="236" spans="9:27" ht="24" customHeight="1" x14ac:dyDescent="0.3">
      <c r="Q236" t="s">
        <v>396</v>
      </c>
      <c r="T236" s="289" t="s">
        <v>1062</v>
      </c>
      <c r="U236" s="49" t="s">
        <v>383</v>
      </c>
      <c r="V236" s="289" t="s">
        <v>272</v>
      </c>
      <c r="W236" s="289" t="s">
        <v>385</v>
      </c>
      <c r="X236" s="49" t="s">
        <v>273</v>
      </c>
      <c r="Y236" s="49" t="s">
        <v>386</v>
      </c>
    </row>
    <row r="237" spans="9:27" ht="15" thickBot="1" x14ac:dyDescent="0.35">
      <c r="I237" s="62" t="s">
        <v>262</v>
      </c>
      <c r="T237" s="291"/>
      <c r="U237" s="50" t="s">
        <v>384</v>
      </c>
      <c r="V237" s="291"/>
      <c r="W237" s="291"/>
      <c r="X237" s="50" t="s">
        <v>274</v>
      </c>
      <c r="Y237" s="50" t="s">
        <v>274</v>
      </c>
    </row>
    <row r="238" spans="9:27" ht="15" thickBot="1" x14ac:dyDescent="0.35">
      <c r="I238" s="62" t="s">
        <v>378</v>
      </c>
      <c r="J238" s="62" t="s">
        <v>379</v>
      </c>
      <c r="K238" s="62"/>
      <c r="L238" s="62"/>
      <c r="T238" s="60" t="s">
        <v>276</v>
      </c>
      <c r="U238" s="52">
        <v>500</v>
      </c>
      <c r="V238" s="51" t="s">
        <v>387</v>
      </c>
      <c r="W238" s="51" t="s">
        <v>329</v>
      </c>
      <c r="X238" s="52">
        <v>5000</v>
      </c>
      <c r="Y238" s="64" t="s">
        <v>388</v>
      </c>
    </row>
    <row r="239" spans="9:27" ht="15" thickBot="1" x14ac:dyDescent="0.35">
      <c r="I239" s="62" t="s">
        <v>380</v>
      </c>
      <c r="J239" s="62" t="s">
        <v>381</v>
      </c>
      <c r="K239" s="62"/>
      <c r="L239" s="62"/>
      <c r="T239" s="298" t="s">
        <v>282</v>
      </c>
      <c r="U239" s="317">
        <v>500</v>
      </c>
      <c r="V239" s="312" t="s">
        <v>387</v>
      </c>
      <c r="W239" s="53" t="s">
        <v>389</v>
      </c>
      <c r="X239" s="54">
        <v>70000</v>
      </c>
      <c r="Y239" s="298" t="s">
        <v>390</v>
      </c>
    </row>
    <row r="240" spans="9:27" ht="15.6" thickBot="1" x14ac:dyDescent="0.35">
      <c r="I240" s="62" t="s">
        <v>320</v>
      </c>
      <c r="J240" s="62" t="s">
        <v>382</v>
      </c>
      <c r="K240" s="62"/>
      <c r="T240" s="299"/>
      <c r="U240" s="318"/>
      <c r="V240" s="313"/>
      <c r="W240" s="53" t="s">
        <v>391</v>
      </c>
      <c r="X240" s="54">
        <v>300000</v>
      </c>
      <c r="Y240" s="299"/>
    </row>
    <row r="241" spans="9:25" ht="15" thickBot="1" x14ac:dyDescent="0.35">
      <c r="I241" s="62" t="s">
        <v>269</v>
      </c>
      <c r="J241" s="62" t="s">
        <v>319</v>
      </c>
      <c r="K241" s="62"/>
      <c r="L241" s="62"/>
      <c r="T241" s="300"/>
      <c r="U241" s="319"/>
      <c r="V241" s="53" t="s">
        <v>392</v>
      </c>
      <c r="W241" s="53" t="s">
        <v>329</v>
      </c>
      <c r="X241" s="54">
        <v>50000</v>
      </c>
      <c r="Y241" s="300"/>
    </row>
    <row r="242" spans="9:25" ht="15" thickBot="1" x14ac:dyDescent="0.35">
      <c r="T242" s="301" t="s">
        <v>285</v>
      </c>
      <c r="U242" s="314">
        <v>500</v>
      </c>
      <c r="V242" s="307" t="s">
        <v>392</v>
      </c>
      <c r="W242" s="55" t="s">
        <v>389</v>
      </c>
      <c r="X242" s="56">
        <v>700000</v>
      </c>
      <c r="Y242" s="301" t="s">
        <v>393</v>
      </c>
    </row>
    <row r="243" spans="9:25" ht="15" thickBot="1" x14ac:dyDescent="0.35">
      <c r="T243" s="302"/>
      <c r="U243" s="315"/>
      <c r="V243" s="308"/>
      <c r="W243" s="55" t="s">
        <v>391</v>
      </c>
      <c r="X243" s="56">
        <v>3000000</v>
      </c>
      <c r="Y243" s="302"/>
    </row>
    <row r="244" spans="9:25" ht="15" thickBot="1" x14ac:dyDescent="0.35">
      <c r="T244" s="302"/>
      <c r="U244" s="315"/>
      <c r="V244" s="307" t="s">
        <v>394</v>
      </c>
      <c r="W244" s="55" t="s">
        <v>329</v>
      </c>
      <c r="X244" s="56">
        <v>100000</v>
      </c>
      <c r="Y244" s="302"/>
    </row>
    <row r="245" spans="9:25" ht="15" thickBot="1" x14ac:dyDescent="0.35">
      <c r="T245" s="303"/>
      <c r="U245" s="316"/>
      <c r="V245" s="308"/>
      <c r="W245" s="55" t="s">
        <v>389</v>
      </c>
      <c r="X245" s="56">
        <v>1400000</v>
      </c>
      <c r="Y245" s="303"/>
    </row>
    <row r="246" spans="9:25" ht="15" thickBot="1" x14ac:dyDescent="0.35">
      <c r="T246" s="59" t="s">
        <v>287</v>
      </c>
      <c r="U246" s="58">
        <v>500</v>
      </c>
      <c r="V246" s="57" t="s">
        <v>394</v>
      </c>
      <c r="W246" s="57" t="s">
        <v>391</v>
      </c>
      <c r="X246" s="58">
        <v>6000000</v>
      </c>
      <c r="Y246" s="65" t="s">
        <v>395</v>
      </c>
    </row>
    <row r="248" spans="9:25" ht="15" thickBot="1" x14ac:dyDescent="0.35">
      <c r="I248" s="61" t="s">
        <v>397</v>
      </c>
    </row>
    <row r="249" spans="9:25" ht="20.25" customHeight="1" x14ac:dyDescent="0.3">
      <c r="Q249" t="s">
        <v>404</v>
      </c>
      <c r="T249" s="289" t="s">
        <v>1062</v>
      </c>
      <c r="U249" s="49" t="s">
        <v>405</v>
      </c>
      <c r="V249" s="289" t="s">
        <v>403</v>
      </c>
      <c r="W249" s="289" t="s">
        <v>407</v>
      </c>
      <c r="X249" s="49" t="s">
        <v>273</v>
      </c>
      <c r="Y249" s="49" t="s">
        <v>408</v>
      </c>
    </row>
    <row r="250" spans="9:25" ht="15" thickBot="1" x14ac:dyDescent="0.35">
      <c r="I250" s="62" t="s">
        <v>262</v>
      </c>
      <c r="T250" s="291"/>
      <c r="U250" s="50" t="s">
        <v>406</v>
      </c>
      <c r="V250" s="291"/>
      <c r="W250" s="291"/>
      <c r="X250" s="50" t="s">
        <v>274</v>
      </c>
      <c r="Y250" s="50" t="s">
        <v>274</v>
      </c>
    </row>
    <row r="251" spans="9:25" ht="15" thickBot="1" x14ac:dyDescent="0.35">
      <c r="I251" s="62" t="s">
        <v>398</v>
      </c>
      <c r="J251" s="62" t="s">
        <v>399</v>
      </c>
      <c r="K251" s="62"/>
      <c r="L251" s="62"/>
      <c r="T251" s="60" t="s">
        <v>276</v>
      </c>
      <c r="U251" s="67">
        <v>12500</v>
      </c>
      <c r="V251" s="51" t="s">
        <v>409</v>
      </c>
      <c r="W251" s="51" t="s">
        <v>410</v>
      </c>
      <c r="X251" s="52">
        <v>1199</v>
      </c>
      <c r="Y251" s="64" t="s">
        <v>411</v>
      </c>
    </row>
    <row r="252" spans="9:25" ht="15" thickBot="1" x14ac:dyDescent="0.35">
      <c r="I252" s="62" t="s">
        <v>400</v>
      </c>
      <c r="J252" s="62" t="s">
        <v>401</v>
      </c>
      <c r="K252" s="62"/>
      <c r="L252" s="62"/>
      <c r="T252" s="298" t="s">
        <v>282</v>
      </c>
      <c r="U252" s="309">
        <v>50000</v>
      </c>
      <c r="V252" s="312" t="s">
        <v>409</v>
      </c>
      <c r="W252" s="53" t="s">
        <v>412</v>
      </c>
      <c r="X252" s="54">
        <v>20548</v>
      </c>
      <c r="Y252" s="298" t="s">
        <v>413</v>
      </c>
    </row>
    <row r="253" spans="9:25" ht="15" thickBot="1" x14ac:dyDescent="0.35">
      <c r="I253" s="62" t="s">
        <v>402</v>
      </c>
      <c r="J253" s="62" t="s">
        <v>403</v>
      </c>
      <c r="K253" s="62"/>
      <c r="L253" s="62"/>
      <c r="T253" s="299"/>
      <c r="U253" s="310"/>
      <c r="V253" s="313"/>
      <c r="W253" s="53" t="s">
        <v>353</v>
      </c>
      <c r="X253" s="54">
        <v>6250000</v>
      </c>
      <c r="Y253" s="299"/>
    </row>
    <row r="254" spans="9:25" ht="15.6" thickBot="1" x14ac:dyDescent="0.35">
      <c r="I254" s="62" t="s">
        <v>320</v>
      </c>
      <c r="J254" s="62" t="s">
        <v>321</v>
      </c>
      <c r="K254" s="62"/>
      <c r="T254" s="300"/>
      <c r="U254" s="311"/>
      <c r="V254" s="53" t="s">
        <v>414</v>
      </c>
      <c r="W254" s="53" t="s">
        <v>410</v>
      </c>
      <c r="X254" s="54">
        <v>28767</v>
      </c>
      <c r="Y254" s="300"/>
    </row>
    <row r="255" spans="9:25" ht="15" thickBot="1" x14ac:dyDescent="0.35">
      <c r="T255" s="301" t="s">
        <v>285</v>
      </c>
      <c r="U255" s="304">
        <v>200000</v>
      </c>
      <c r="V255" s="307" t="s">
        <v>414</v>
      </c>
      <c r="W255" s="55" t="s">
        <v>412</v>
      </c>
      <c r="X255" s="56">
        <v>493151</v>
      </c>
      <c r="Y255" s="301" t="s">
        <v>415</v>
      </c>
    </row>
    <row r="256" spans="9:25" ht="15" thickBot="1" x14ac:dyDescent="0.35">
      <c r="T256" s="302"/>
      <c r="U256" s="305"/>
      <c r="V256" s="308"/>
      <c r="W256" s="55" t="s">
        <v>353</v>
      </c>
      <c r="X256" s="56">
        <v>150000000</v>
      </c>
      <c r="Y256" s="302"/>
    </row>
    <row r="257" spans="1:25" ht="15" thickBot="1" x14ac:dyDescent="0.35">
      <c r="T257" s="302"/>
      <c r="U257" s="305"/>
      <c r="V257" s="307" t="s">
        <v>416</v>
      </c>
      <c r="W257" s="55" t="s">
        <v>410</v>
      </c>
      <c r="X257" s="56">
        <v>230137</v>
      </c>
      <c r="Y257" s="302"/>
    </row>
    <row r="258" spans="1:25" ht="15" thickBot="1" x14ac:dyDescent="0.35">
      <c r="A258" t="s">
        <v>727</v>
      </c>
      <c r="T258" s="303"/>
      <c r="U258" s="306"/>
      <c r="V258" s="308"/>
      <c r="W258" s="55" t="s">
        <v>412</v>
      </c>
      <c r="X258" s="56">
        <v>986301</v>
      </c>
      <c r="Y258" s="303"/>
    </row>
    <row r="259" spans="1:25" ht="15" thickBot="1" x14ac:dyDescent="0.35">
      <c r="T259" s="59" t="s">
        <v>287</v>
      </c>
      <c r="U259" s="68">
        <v>600000</v>
      </c>
      <c r="V259" s="57" t="s">
        <v>416</v>
      </c>
      <c r="W259" s="57" t="s">
        <v>353</v>
      </c>
      <c r="X259" s="58">
        <v>900000000</v>
      </c>
      <c r="Y259" s="65" t="s">
        <v>417</v>
      </c>
    </row>
    <row r="260" spans="1:25" ht="15" thickBot="1" x14ac:dyDescent="0.35">
      <c r="A260" s="289" t="s">
        <v>418</v>
      </c>
      <c r="B260" s="287" t="s">
        <v>419</v>
      </c>
      <c r="C260" s="292"/>
      <c r="D260" s="292"/>
      <c r="E260" s="292"/>
      <c r="F260" s="292"/>
      <c r="G260" s="292"/>
      <c r="H260" s="292"/>
      <c r="I260" s="292"/>
      <c r="J260" s="292"/>
      <c r="K260" s="292"/>
      <c r="L260" s="288"/>
    </row>
    <row r="261" spans="1:25" ht="15" thickBot="1" x14ac:dyDescent="0.35">
      <c r="A261" s="290"/>
      <c r="B261" s="293" t="s">
        <v>9</v>
      </c>
      <c r="C261" s="294"/>
      <c r="D261" s="295" t="s">
        <v>7</v>
      </c>
      <c r="E261" s="296"/>
      <c r="F261" s="297"/>
      <c r="G261" s="281" t="s">
        <v>251</v>
      </c>
      <c r="H261" s="282"/>
      <c r="I261" s="283"/>
      <c r="J261" s="284" t="s">
        <v>5</v>
      </c>
      <c r="K261" s="285"/>
      <c r="L261" s="286"/>
    </row>
    <row r="262" spans="1:25" ht="15" thickBot="1" x14ac:dyDescent="0.35">
      <c r="A262" s="291"/>
      <c r="B262" s="50" t="s">
        <v>420</v>
      </c>
      <c r="C262" s="50" t="s">
        <v>421</v>
      </c>
      <c r="D262" s="287" t="s">
        <v>420</v>
      </c>
      <c r="E262" s="288"/>
      <c r="F262" s="50" t="s">
        <v>421</v>
      </c>
      <c r="G262" s="287" t="s">
        <v>420</v>
      </c>
      <c r="H262" s="288"/>
      <c r="I262" s="50" t="s">
        <v>421</v>
      </c>
      <c r="J262" s="50" t="s">
        <v>420</v>
      </c>
      <c r="K262" s="287" t="s">
        <v>421</v>
      </c>
      <c r="L262" s="288"/>
    </row>
    <row r="263" spans="1:25" ht="15" thickBot="1" x14ac:dyDescent="0.35">
      <c r="A263" s="272" t="s">
        <v>142</v>
      </c>
      <c r="B263" s="273"/>
      <c r="C263" s="273"/>
      <c r="D263" s="273"/>
      <c r="E263" s="273"/>
      <c r="F263" s="273"/>
      <c r="G263" s="273"/>
      <c r="H263" s="273"/>
      <c r="I263" s="273"/>
      <c r="J263" s="273"/>
      <c r="K263" s="273"/>
      <c r="L263" s="274"/>
    </row>
    <row r="264" spans="1:25" ht="15" thickBot="1" x14ac:dyDescent="0.35">
      <c r="A264" s="69" t="s">
        <v>143</v>
      </c>
      <c r="B264" s="15" t="s">
        <v>279</v>
      </c>
      <c r="C264" s="70">
        <v>117000</v>
      </c>
      <c r="D264" s="275" t="s">
        <v>422</v>
      </c>
      <c r="E264" s="276"/>
      <c r="F264" s="70">
        <v>266000</v>
      </c>
      <c r="G264" s="275" t="s">
        <v>423</v>
      </c>
      <c r="H264" s="276"/>
      <c r="I264" s="71" t="s">
        <v>424</v>
      </c>
      <c r="J264" s="15" t="s">
        <v>425</v>
      </c>
      <c r="K264" s="277" t="s">
        <v>426</v>
      </c>
      <c r="L264" s="278"/>
    </row>
    <row r="265" spans="1:25" ht="15" thickBot="1" x14ac:dyDescent="0.35">
      <c r="A265" s="69" t="s">
        <v>495</v>
      </c>
      <c r="B265" s="15" t="s">
        <v>304</v>
      </c>
      <c r="C265" s="70">
        <v>440000</v>
      </c>
      <c r="D265" s="275" t="s">
        <v>427</v>
      </c>
      <c r="E265" s="276"/>
      <c r="F265" s="71" t="s">
        <v>428</v>
      </c>
      <c r="G265" s="275" t="s">
        <v>309</v>
      </c>
      <c r="H265" s="276"/>
      <c r="I265" s="71" t="s">
        <v>429</v>
      </c>
      <c r="J265" s="15" t="s">
        <v>430</v>
      </c>
      <c r="K265" s="277" t="s">
        <v>431</v>
      </c>
      <c r="L265" s="278"/>
    </row>
    <row r="266" spans="1:25" ht="15" thickBot="1" x14ac:dyDescent="0.35">
      <c r="A266" s="272" t="s">
        <v>123</v>
      </c>
      <c r="B266" s="273"/>
      <c r="C266" s="273"/>
      <c r="D266" s="273"/>
      <c r="E266" s="273"/>
      <c r="F266" s="273"/>
      <c r="G266" s="273"/>
      <c r="H266" s="273"/>
      <c r="I266" s="273"/>
      <c r="J266" s="273"/>
      <c r="K266" s="273"/>
      <c r="L266" s="274"/>
    </row>
    <row r="267" spans="1:25" ht="15" thickBot="1" x14ac:dyDescent="0.35">
      <c r="A267" s="69" t="s">
        <v>432</v>
      </c>
      <c r="B267" s="15" t="s">
        <v>433</v>
      </c>
      <c r="C267" s="70">
        <v>670</v>
      </c>
      <c r="D267" s="275" t="s">
        <v>434</v>
      </c>
      <c r="E267" s="276"/>
      <c r="F267" s="70">
        <v>6700</v>
      </c>
      <c r="G267" s="275" t="s">
        <v>335</v>
      </c>
      <c r="H267" s="276"/>
      <c r="I267" s="70">
        <v>31000</v>
      </c>
      <c r="J267" s="15" t="s">
        <v>435</v>
      </c>
      <c r="K267" s="279">
        <v>542000</v>
      </c>
      <c r="L267" s="280"/>
    </row>
    <row r="268" spans="1:25" ht="24.6" thickBot="1" x14ac:dyDescent="0.35">
      <c r="A268" s="69" t="s">
        <v>436</v>
      </c>
      <c r="B268" s="15" t="s">
        <v>348</v>
      </c>
      <c r="C268" s="70">
        <v>110000</v>
      </c>
      <c r="D268" s="275" t="s">
        <v>350</v>
      </c>
      <c r="E268" s="276"/>
      <c r="F268" s="71" t="s">
        <v>354</v>
      </c>
      <c r="G268" s="275" t="s">
        <v>437</v>
      </c>
      <c r="H268" s="276"/>
      <c r="I268" s="71" t="s">
        <v>438</v>
      </c>
      <c r="J268" s="15" t="s">
        <v>357</v>
      </c>
      <c r="K268" s="277" t="s">
        <v>439</v>
      </c>
      <c r="L268" s="278"/>
    </row>
    <row r="269" spans="1:25" ht="15" thickBot="1" x14ac:dyDescent="0.35">
      <c r="A269" s="69" t="s">
        <v>496</v>
      </c>
      <c r="B269" s="15" t="s">
        <v>304</v>
      </c>
      <c r="C269" s="70">
        <v>440000</v>
      </c>
      <c r="D269" s="275" t="s">
        <v>427</v>
      </c>
      <c r="E269" s="276"/>
      <c r="F269" s="71" t="s">
        <v>428</v>
      </c>
      <c r="G269" s="275" t="s">
        <v>309</v>
      </c>
      <c r="H269" s="276"/>
      <c r="I269" s="71" t="s">
        <v>429</v>
      </c>
      <c r="J269" s="15" t="s">
        <v>430</v>
      </c>
      <c r="K269" s="277" t="s">
        <v>431</v>
      </c>
      <c r="L269" s="278"/>
    </row>
    <row r="270" spans="1:25" ht="15" thickBot="1" x14ac:dyDescent="0.35">
      <c r="A270" s="272" t="s">
        <v>182</v>
      </c>
      <c r="B270" s="273"/>
      <c r="C270" s="273"/>
      <c r="D270" s="273"/>
      <c r="E270" s="273"/>
      <c r="F270" s="273"/>
      <c r="G270" s="273"/>
      <c r="H270" s="273"/>
      <c r="I270" s="273"/>
      <c r="J270" s="273"/>
      <c r="K270" s="273"/>
      <c r="L270" s="274"/>
    </row>
    <row r="271" spans="1:25" ht="15" thickBot="1" x14ac:dyDescent="0.35">
      <c r="A271" s="69" t="s">
        <v>440</v>
      </c>
      <c r="B271" s="15" t="s">
        <v>441</v>
      </c>
      <c r="C271" s="70">
        <v>655000</v>
      </c>
      <c r="D271" s="275" t="s">
        <v>373</v>
      </c>
      <c r="E271" s="276"/>
      <c r="F271" s="71" t="s">
        <v>442</v>
      </c>
      <c r="G271" s="275" t="s">
        <v>443</v>
      </c>
      <c r="H271" s="276"/>
      <c r="I271" s="71" t="s">
        <v>444</v>
      </c>
      <c r="J271" s="15" t="s">
        <v>375</v>
      </c>
      <c r="K271" s="277" t="s">
        <v>445</v>
      </c>
      <c r="L271" s="278"/>
    </row>
    <row r="272" spans="1:25" ht="15" thickBot="1" x14ac:dyDescent="0.35">
      <c r="A272" s="272" t="s">
        <v>127</v>
      </c>
      <c r="B272" s="273"/>
      <c r="C272" s="273"/>
      <c r="D272" s="273"/>
      <c r="E272" s="273"/>
      <c r="F272" s="273"/>
      <c r="G272" s="273"/>
      <c r="H272" s="273"/>
      <c r="I272" s="273"/>
      <c r="J272" s="273"/>
      <c r="K272" s="273"/>
      <c r="L272" s="274"/>
    </row>
    <row r="273" spans="1:12" ht="15" thickBot="1" x14ac:dyDescent="0.35">
      <c r="A273" s="69" t="s">
        <v>440</v>
      </c>
      <c r="B273" s="15" t="s">
        <v>388</v>
      </c>
      <c r="C273" s="70">
        <v>5000</v>
      </c>
      <c r="D273" s="275" t="s">
        <v>390</v>
      </c>
      <c r="E273" s="276"/>
      <c r="F273" s="70">
        <v>140000</v>
      </c>
      <c r="G273" s="275" t="s">
        <v>446</v>
      </c>
      <c r="H273" s="276"/>
      <c r="I273" s="71" t="s">
        <v>447</v>
      </c>
      <c r="J273" s="71" t="s">
        <v>395</v>
      </c>
      <c r="K273" s="277" t="s">
        <v>395</v>
      </c>
      <c r="L273" s="278"/>
    </row>
    <row r="274" spans="1:12" ht="15" thickBot="1" x14ac:dyDescent="0.35">
      <c r="A274" s="272" t="s">
        <v>128</v>
      </c>
      <c r="B274" s="273"/>
      <c r="C274" s="273"/>
      <c r="D274" s="273"/>
      <c r="E274" s="273"/>
      <c r="F274" s="273"/>
      <c r="G274" s="273"/>
      <c r="H274" s="273"/>
      <c r="I274" s="273"/>
      <c r="J274" s="273"/>
      <c r="K274" s="273"/>
      <c r="L274" s="274"/>
    </row>
    <row r="275" spans="1:12" ht="15" thickBot="1" x14ac:dyDescent="0.35">
      <c r="A275" s="69" t="s">
        <v>128</v>
      </c>
      <c r="B275" s="70">
        <v>1200</v>
      </c>
      <c r="C275" s="70">
        <v>1200</v>
      </c>
      <c r="D275" s="15" t="s">
        <v>413</v>
      </c>
      <c r="E275" s="277" t="s">
        <v>448</v>
      </c>
      <c r="F275" s="278"/>
      <c r="G275" s="15" t="s">
        <v>415</v>
      </c>
      <c r="H275" s="277" t="s">
        <v>449</v>
      </c>
      <c r="I275" s="278"/>
      <c r="J275" s="277" t="s">
        <v>417</v>
      </c>
      <c r="K275" s="278"/>
      <c r="L275" s="71" t="s">
        <v>417</v>
      </c>
    </row>
    <row r="276" spans="1:12" ht="36.6" thickBot="1" x14ac:dyDescent="0.35">
      <c r="A276" s="72" t="s">
        <v>454</v>
      </c>
      <c r="B276" s="261" t="s">
        <v>450</v>
      </c>
      <c r="C276" s="262"/>
      <c r="D276" s="263" t="s">
        <v>451</v>
      </c>
      <c r="E276" s="264"/>
      <c r="F276" s="265"/>
      <c r="G276" s="266" t="s">
        <v>452</v>
      </c>
      <c r="H276" s="267"/>
      <c r="I276" s="268"/>
      <c r="J276" s="269" t="s">
        <v>453</v>
      </c>
      <c r="K276" s="270"/>
      <c r="L276" s="271"/>
    </row>
    <row r="277" spans="1:12" x14ac:dyDescent="0.3">
      <c r="B277" s="73">
        <f>0.009+0.195+0.055+0.195+0.04+0.001</f>
        <v>0.495</v>
      </c>
      <c r="C277" s="73">
        <f>0.435+0.98+0.002+0.275+0.98+1.3+0.005+0.001</f>
        <v>3.9780000000000002</v>
      </c>
      <c r="D277" s="73">
        <f>0.009+0.301+0.001+0.097+0.301+0.63+0.05+0.021</f>
        <v>1.41</v>
      </c>
      <c r="E277" s="77">
        <f>0.87+3+0.03+33.6+3+7.7+0.3+6.3</f>
        <v>54.8</v>
      </c>
      <c r="G277" s="77">
        <f>0.017+1.2+0.003+5.5+1.2+2.9+0.1+0.23</f>
        <v>11.15</v>
      </c>
      <c r="H277" s="77">
        <f>4.5+29+0.15+38.9+29+33.5+3+150</f>
        <v>288.05</v>
      </c>
      <c r="K277" s="77">
        <f>0.087+24+0.075+284+24+54+6+900</f>
        <v>1292.162</v>
      </c>
      <c r="L277" s="77">
        <f>4.5+121+1.5+315+121+504+6+900</f>
        <v>1973</v>
      </c>
    </row>
    <row r="278" spans="1:12" s="66" customFormat="1" x14ac:dyDescent="0.3">
      <c r="A278" s="66" t="s">
        <v>455</v>
      </c>
      <c r="B278" s="74">
        <v>10000</v>
      </c>
      <c r="C278" s="74">
        <v>100000</v>
      </c>
      <c r="D278" s="75">
        <v>1000000</v>
      </c>
      <c r="E278" s="75">
        <v>10000000</v>
      </c>
      <c r="F278" s="76">
        <v>100000000</v>
      </c>
      <c r="G278" s="76">
        <v>1000000000</v>
      </c>
      <c r="H278" s="76">
        <v>10000000000</v>
      </c>
    </row>
    <row r="279" spans="1:12" x14ac:dyDescent="0.3">
      <c r="G279" s="78"/>
    </row>
  </sheetData>
  <mergeCells count="212">
    <mergeCell ref="W4:W16"/>
    <mergeCell ref="X4:X5"/>
    <mergeCell ref="Z4:Z5"/>
    <mergeCell ref="X6:X8"/>
    <mergeCell ref="X9:X14"/>
    <mergeCell ref="W17:W21"/>
    <mergeCell ref="X17:X19"/>
    <mergeCell ref="X20:X21"/>
    <mergeCell ref="W22:W32"/>
    <mergeCell ref="X15:X16"/>
    <mergeCell ref="W42:W44"/>
    <mergeCell ref="X42:X44"/>
    <mergeCell ref="W45:W47"/>
    <mergeCell ref="X45:X47"/>
    <mergeCell ref="W48:W51"/>
    <mergeCell ref="S53:S58"/>
    <mergeCell ref="X22:X24"/>
    <mergeCell ref="X25:X29"/>
    <mergeCell ref="Z30:Z32"/>
    <mergeCell ref="W33:W35"/>
    <mergeCell ref="X33:X34"/>
    <mergeCell ref="W36:W38"/>
    <mergeCell ref="X36:X38"/>
    <mergeCell ref="Y70:Y73"/>
    <mergeCell ref="T74:T80"/>
    <mergeCell ref="U74:U80"/>
    <mergeCell ref="V74:V77"/>
    <mergeCell ref="Y74:Y80"/>
    <mergeCell ref="V78:V79"/>
    <mergeCell ref="U62:X62"/>
    <mergeCell ref="S64:S65"/>
    <mergeCell ref="T64:T65"/>
    <mergeCell ref="T68:T69"/>
    <mergeCell ref="V68:V69"/>
    <mergeCell ref="T70:T73"/>
    <mergeCell ref="U70:U73"/>
    <mergeCell ref="V70:V72"/>
    <mergeCell ref="T81:T89"/>
    <mergeCell ref="U81:U89"/>
    <mergeCell ref="Y81:Y89"/>
    <mergeCell ref="V82:V85"/>
    <mergeCell ref="V86:V89"/>
    <mergeCell ref="T90:T93"/>
    <mergeCell ref="U90:U93"/>
    <mergeCell ref="Y90:Y93"/>
    <mergeCell ref="V91:V93"/>
    <mergeCell ref="T97:T98"/>
    <mergeCell ref="T99:T102"/>
    <mergeCell ref="U99:U102"/>
    <mergeCell ref="V99:V101"/>
    <mergeCell ref="Y99:Y102"/>
    <mergeCell ref="T103:T109"/>
    <mergeCell ref="U103:U109"/>
    <mergeCell ref="V103:V106"/>
    <mergeCell ref="Y103:Y109"/>
    <mergeCell ref="V107:V108"/>
    <mergeCell ref="T110:T118"/>
    <mergeCell ref="U110:U118"/>
    <mergeCell ref="Y110:Y118"/>
    <mergeCell ref="V111:V114"/>
    <mergeCell ref="V115:V118"/>
    <mergeCell ref="T119:T122"/>
    <mergeCell ref="U119:U122"/>
    <mergeCell ref="Y119:Y122"/>
    <mergeCell ref="V120:V122"/>
    <mergeCell ref="Z126:Z129"/>
    <mergeCell ref="T130:T136"/>
    <mergeCell ref="U130:U136"/>
    <mergeCell ref="V130:V133"/>
    <mergeCell ref="Z130:Z136"/>
    <mergeCell ref="V134:V135"/>
    <mergeCell ref="T124:T125"/>
    <mergeCell ref="V124:V125"/>
    <mergeCell ref="X124:X125"/>
    <mergeCell ref="T126:T129"/>
    <mergeCell ref="U126:U129"/>
    <mergeCell ref="V126:V128"/>
    <mergeCell ref="T137:T145"/>
    <mergeCell ref="U137:U145"/>
    <mergeCell ref="Z137:Z145"/>
    <mergeCell ref="V138:V141"/>
    <mergeCell ref="V142:V145"/>
    <mergeCell ref="T146:T149"/>
    <mergeCell ref="U146:U149"/>
    <mergeCell ref="Z146:Z149"/>
    <mergeCell ref="V147:V149"/>
    <mergeCell ref="T160:T166"/>
    <mergeCell ref="U160:U166"/>
    <mergeCell ref="V160:V166"/>
    <mergeCell ref="Z160:Z166"/>
    <mergeCell ref="T167:T175"/>
    <mergeCell ref="U167:U175"/>
    <mergeCell ref="V167:V175"/>
    <mergeCell ref="Z167:Z175"/>
    <mergeCell ref="T154:T155"/>
    <mergeCell ref="X154:X155"/>
    <mergeCell ref="T156:T159"/>
    <mergeCell ref="U156:U159"/>
    <mergeCell ref="V156:V159"/>
    <mergeCell ref="Z156:Z159"/>
    <mergeCell ref="T186:T193"/>
    <mergeCell ref="U186:U189"/>
    <mergeCell ref="V186:V188"/>
    <mergeCell ref="Y186:Y189"/>
    <mergeCell ref="AA186:AA193"/>
    <mergeCell ref="U190:U193"/>
    <mergeCell ref="V190:V192"/>
    <mergeCell ref="Y190:Y193"/>
    <mergeCell ref="T176:T179"/>
    <mergeCell ref="U176:U179"/>
    <mergeCell ref="V176:V179"/>
    <mergeCell ref="Z176:Z179"/>
    <mergeCell ref="T184:T185"/>
    <mergeCell ref="V184:V185"/>
    <mergeCell ref="T194:T207"/>
    <mergeCell ref="U194:U200"/>
    <mergeCell ref="V194:V197"/>
    <mergeCell ref="Y194:Y200"/>
    <mergeCell ref="AA194:AA207"/>
    <mergeCell ref="V198:V199"/>
    <mergeCell ref="U201:U207"/>
    <mergeCell ref="V201:V204"/>
    <mergeCell ref="Y201:Y207"/>
    <mergeCell ref="V205:V206"/>
    <mergeCell ref="T226:T233"/>
    <mergeCell ref="U226:U229"/>
    <mergeCell ref="Y226:Y229"/>
    <mergeCell ref="AA226:AA233"/>
    <mergeCell ref="V227:V229"/>
    <mergeCell ref="U230:U233"/>
    <mergeCell ref="Y230:Y233"/>
    <mergeCell ref="V231:V233"/>
    <mergeCell ref="T208:T225"/>
    <mergeCell ref="U208:U216"/>
    <mergeCell ref="Y208:Y216"/>
    <mergeCell ref="AA208:AA225"/>
    <mergeCell ref="V209:V212"/>
    <mergeCell ref="V213:V216"/>
    <mergeCell ref="U217:U225"/>
    <mergeCell ref="Y217:Y225"/>
    <mergeCell ref="V218:V221"/>
    <mergeCell ref="V222:V225"/>
    <mergeCell ref="Y239:Y241"/>
    <mergeCell ref="T242:T245"/>
    <mergeCell ref="U242:U245"/>
    <mergeCell ref="V242:V243"/>
    <mergeCell ref="Y242:Y245"/>
    <mergeCell ref="V244:V245"/>
    <mergeCell ref="T236:T237"/>
    <mergeCell ref="V236:V237"/>
    <mergeCell ref="W236:W237"/>
    <mergeCell ref="T239:T241"/>
    <mergeCell ref="U239:U241"/>
    <mergeCell ref="V239:V240"/>
    <mergeCell ref="Y252:Y254"/>
    <mergeCell ref="T255:T258"/>
    <mergeCell ref="U255:U258"/>
    <mergeCell ref="V255:V256"/>
    <mergeCell ref="Y255:Y258"/>
    <mergeCell ref="V257:V258"/>
    <mergeCell ref="T249:T250"/>
    <mergeCell ref="V249:V250"/>
    <mergeCell ref="W249:W250"/>
    <mergeCell ref="T252:T254"/>
    <mergeCell ref="U252:U254"/>
    <mergeCell ref="V252:V253"/>
    <mergeCell ref="D269:E269"/>
    <mergeCell ref="G269:H269"/>
    <mergeCell ref="K269:L269"/>
    <mergeCell ref="G264:H264"/>
    <mergeCell ref="K264:L264"/>
    <mergeCell ref="D265:E265"/>
    <mergeCell ref="G265:H265"/>
    <mergeCell ref="K265:L265"/>
    <mergeCell ref="G261:I261"/>
    <mergeCell ref="J261:L261"/>
    <mergeCell ref="D262:E262"/>
    <mergeCell ref="G262:H262"/>
    <mergeCell ref="K262:L262"/>
    <mergeCell ref="A263:L263"/>
    <mergeCell ref="D264:E264"/>
    <mergeCell ref="A266:L266"/>
    <mergeCell ref="D267:E267"/>
    <mergeCell ref="G267:H267"/>
    <mergeCell ref="A260:A262"/>
    <mergeCell ref="B260:L260"/>
    <mergeCell ref="B261:C261"/>
    <mergeCell ref="D261:F261"/>
    <mergeCell ref="I40:I45"/>
    <mergeCell ref="K48:N48"/>
    <mergeCell ref="I50:I51"/>
    <mergeCell ref="J50:J51"/>
    <mergeCell ref="B276:C276"/>
    <mergeCell ref="D276:F276"/>
    <mergeCell ref="G276:I276"/>
    <mergeCell ref="J276:L276"/>
    <mergeCell ref="A272:L272"/>
    <mergeCell ref="D273:E273"/>
    <mergeCell ref="G273:H273"/>
    <mergeCell ref="K273:L273"/>
    <mergeCell ref="A274:L274"/>
    <mergeCell ref="E275:F275"/>
    <mergeCell ref="H275:I275"/>
    <mergeCell ref="J275:K275"/>
    <mergeCell ref="A270:L270"/>
    <mergeCell ref="D271:E271"/>
    <mergeCell ref="G271:H271"/>
    <mergeCell ref="K271:L271"/>
    <mergeCell ref="K267:L267"/>
    <mergeCell ref="D268:E268"/>
    <mergeCell ref="G268:H268"/>
    <mergeCell ref="K268:L268"/>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38"/>
  <sheetViews>
    <sheetView topLeftCell="A4" workbookViewId="0">
      <selection activeCell="B9" sqref="B9"/>
    </sheetView>
  </sheetViews>
  <sheetFormatPr defaultRowHeight="14.4" x14ac:dyDescent="0.3"/>
  <cols>
    <col min="1" max="1" width="39.5546875" customWidth="1"/>
    <col min="2" max="2" width="79.44140625" customWidth="1"/>
    <col min="3" max="3" width="28.6640625" customWidth="1"/>
    <col min="4" max="4" width="13.33203125" customWidth="1"/>
    <col min="5" max="5" width="12.44140625" customWidth="1"/>
    <col min="6" max="6" width="13.33203125" customWidth="1"/>
    <col min="7" max="7" width="14.44140625" customWidth="1"/>
    <col min="8" max="8" width="6.33203125" customWidth="1"/>
    <col min="9" max="9" width="9" customWidth="1"/>
    <col min="10" max="14" width="15.6640625" customWidth="1"/>
  </cols>
  <sheetData>
    <row r="1" spans="1:14" s="117" customFormat="1" x14ac:dyDescent="0.3">
      <c r="A1" s="154" t="s">
        <v>694</v>
      </c>
      <c r="B1" s="154"/>
    </row>
    <row r="2" spans="1:14" s="117" customFormat="1" x14ac:dyDescent="0.3">
      <c r="A2" s="117" t="s">
        <v>695</v>
      </c>
    </row>
    <row r="3" spans="1:14" s="117" customFormat="1" x14ac:dyDescent="0.3">
      <c r="A3" s="117" t="s">
        <v>696</v>
      </c>
    </row>
    <row r="4" spans="1:14" s="117" customFormat="1" x14ac:dyDescent="0.3">
      <c r="A4" s="117" t="s">
        <v>697</v>
      </c>
    </row>
    <row r="5" spans="1:14" s="117" customFormat="1" x14ac:dyDescent="0.3">
      <c r="A5" s="117" t="s">
        <v>698</v>
      </c>
    </row>
    <row r="6" spans="1:14" s="117" customFormat="1" x14ac:dyDescent="0.3"/>
    <row r="7" spans="1:14" x14ac:dyDescent="0.3">
      <c r="E7" s="86" t="s">
        <v>606</v>
      </c>
      <c r="F7" s="86"/>
      <c r="I7" s="127"/>
      <c r="J7" s="127" t="s">
        <v>630</v>
      </c>
      <c r="K7" s="128"/>
      <c r="L7" s="128"/>
      <c r="M7" s="128"/>
    </row>
    <row r="8" spans="1:14" s="80" customFormat="1" ht="28.8" x14ac:dyDescent="0.3">
      <c r="A8" s="107" t="s">
        <v>601</v>
      </c>
      <c r="B8" s="107" t="s">
        <v>549</v>
      </c>
      <c r="C8" s="107" t="s">
        <v>551</v>
      </c>
      <c r="E8" s="107" t="s">
        <v>558</v>
      </c>
      <c r="F8" s="107" t="s">
        <v>612</v>
      </c>
      <c r="G8" s="100" t="s">
        <v>625</v>
      </c>
      <c r="I8" s="130"/>
      <c r="J8" s="107" t="s">
        <v>631</v>
      </c>
      <c r="K8" s="107" t="s">
        <v>632</v>
      </c>
      <c r="L8" s="107" t="s">
        <v>633</v>
      </c>
      <c r="M8" s="107" t="s">
        <v>634</v>
      </c>
      <c r="N8" s="107" t="s">
        <v>636</v>
      </c>
    </row>
    <row r="9" spans="1:14" ht="105" customHeight="1" x14ac:dyDescent="0.3">
      <c r="A9" t="s">
        <v>546</v>
      </c>
      <c r="B9" s="80" t="s">
        <v>556</v>
      </c>
      <c r="C9" s="118" t="s">
        <v>607</v>
      </c>
      <c r="D9" s="125" t="s">
        <v>628</v>
      </c>
      <c r="E9" s="119">
        <f>11059*0.1*100*0.001</f>
        <v>110.59000000000002</v>
      </c>
      <c r="F9" s="119">
        <f>11060*1*10*100</f>
        <v>11060000</v>
      </c>
      <c r="G9" s="129" t="s">
        <v>627</v>
      </c>
      <c r="J9" s="148">
        <v>1000</v>
      </c>
      <c r="K9" s="148">
        <v>1000000</v>
      </c>
      <c r="L9" s="148">
        <v>15000000</v>
      </c>
      <c r="M9" s="133"/>
      <c r="N9" s="133"/>
    </row>
    <row r="10" spans="1:14" ht="75" customHeight="1" x14ac:dyDescent="0.3">
      <c r="A10" t="s">
        <v>555</v>
      </c>
      <c r="B10" s="80" t="s">
        <v>557</v>
      </c>
      <c r="C10" s="118" t="s">
        <v>605</v>
      </c>
      <c r="D10" s="125" t="s">
        <v>629</v>
      </c>
      <c r="E10" s="119">
        <f>2000*2010*0.01</f>
        <v>40200</v>
      </c>
      <c r="F10" s="119">
        <f>2010*13000*1</f>
        <v>26130000</v>
      </c>
      <c r="G10" s="129" t="s">
        <v>613</v>
      </c>
      <c r="J10" s="148">
        <v>400000</v>
      </c>
      <c r="K10" s="148">
        <v>2000000</v>
      </c>
      <c r="L10" s="148">
        <v>26000000</v>
      </c>
      <c r="M10" s="133"/>
      <c r="N10" s="133"/>
    </row>
    <row r="11" spans="1:14" ht="122.25" customHeight="1" x14ac:dyDescent="0.3">
      <c r="A11" t="s">
        <v>547</v>
      </c>
      <c r="B11" s="80" t="s">
        <v>562</v>
      </c>
      <c r="C11" s="118" t="s">
        <v>604</v>
      </c>
      <c r="D11" s="125"/>
      <c r="E11" s="119">
        <f>2100*3.142*5280^2/43560*0.01</f>
        <v>42228.480000000003</v>
      </c>
      <c r="F11" s="119">
        <f>2100*3.142*5280^2/43560*1</f>
        <v>4222848</v>
      </c>
      <c r="G11" s="129" t="s">
        <v>563</v>
      </c>
      <c r="J11" s="148">
        <v>100000</v>
      </c>
      <c r="K11" s="148">
        <v>2500000</v>
      </c>
      <c r="L11" s="148">
        <v>8500000</v>
      </c>
      <c r="M11" s="133"/>
      <c r="N11" s="133"/>
    </row>
    <row r="12" spans="1:14" ht="36.75" customHeight="1" x14ac:dyDescent="0.3">
      <c r="A12" t="s">
        <v>548</v>
      </c>
      <c r="B12" s="80" t="s">
        <v>561</v>
      </c>
      <c r="C12" s="118" t="s">
        <v>602</v>
      </c>
      <c r="D12" s="125"/>
      <c r="E12" s="119">
        <f>19.3*1128</f>
        <v>21770.400000000001</v>
      </c>
      <c r="F12" s="119">
        <f>19300*1128</f>
        <v>21770400</v>
      </c>
      <c r="G12" s="129" t="s">
        <v>566</v>
      </c>
      <c r="J12" s="148">
        <v>250000</v>
      </c>
      <c r="K12" s="148">
        <v>6000000</v>
      </c>
      <c r="L12" s="148">
        <v>85000000</v>
      </c>
      <c r="M12" s="133"/>
      <c r="N12" s="133"/>
    </row>
    <row r="13" spans="1:14" ht="67.5" customHeight="1" x14ac:dyDescent="0.3">
      <c r="A13" t="s">
        <v>550</v>
      </c>
      <c r="B13" s="80" t="s">
        <v>565</v>
      </c>
      <c r="C13" s="118" t="s">
        <v>603</v>
      </c>
      <c r="D13" s="125"/>
      <c r="E13" s="119">
        <f>1000000*0.01</f>
        <v>10000</v>
      </c>
      <c r="F13" s="119">
        <f>1000000*10</f>
        <v>10000000</v>
      </c>
      <c r="G13" s="129" t="s">
        <v>564</v>
      </c>
      <c r="J13" s="148">
        <v>10000</v>
      </c>
      <c r="K13" s="148">
        <v>100000</v>
      </c>
      <c r="L13" s="148">
        <v>1000000</v>
      </c>
      <c r="M13" s="133"/>
      <c r="N13" s="133"/>
    </row>
    <row r="14" spans="1:14" x14ac:dyDescent="0.3">
      <c r="I14" s="131" t="s">
        <v>635</v>
      </c>
      <c r="J14" s="149">
        <f>SUM(J9:J13)</f>
        <v>761000</v>
      </c>
      <c r="K14" s="149">
        <f t="shared" ref="K14:L14" si="0">SUM(K9:K13)</f>
        <v>11600000</v>
      </c>
      <c r="L14" s="149">
        <f t="shared" si="0"/>
        <v>135500000</v>
      </c>
    </row>
    <row r="16" spans="1:14" ht="64.5" customHeight="1" x14ac:dyDescent="0.3">
      <c r="B16" s="2" t="s">
        <v>611</v>
      </c>
      <c r="C16" s="2" t="s">
        <v>72</v>
      </c>
      <c r="J16" s="352" t="s">
        <v>732</v>
      </c>
      <c r="K16" s="352"/>
      <c r="L16" s="352"/>
      <c r="M16" s="352"/>
      <c r="N16" s="352"/>
    </row>
    <row r="17" spans="1:14" x14ac:dyDescent="0.3">
      <c r="C17">
        <v>1</v>
      </c>
      <c r="D17">
        <v>2</v>
      </c>
      <c r="E17">
        <v>3</v>
      </c>
      <c r="F17">
        <v>6</v>
      </c>
      <c r="G17">
        <v>9</v>
      </c>
      <c r="H17" s="2" t="s">
        <v>74</v>
      </c>
      <c r="I17" s="2"/>
      <c r="L17" s="2"/>
      <c r="M17" s="2"/>
    </row>
    <row r="18" spans="1:14" x14ac:dyDescent="0.3">
      <c r="B18" s="2" t="s">
        <v>73</v>
      </c>
      <c r="C18">
        <v>0.8</v>
      </c>
      <c r="D18">
        <v>0.18</v>
      </c>
      <c r="E18">
        <v>1.89E-2</v>
      </c>
      <c r="F18">
        <v>1E-3</v>
      </c>
      <c r="G18">
        <v>1E-4</v>
      </c>
      <c r="H18">
        <f>SUM(C18:G18)</f>
        <v>1</v>
      </c>
    </row>
    <row r="19" spans="1:14" ht="65.25" customHeight="1" x14ac:dyDescent="0.3">
      <c r="C19">
        <f>2*3.142*1760</f>
        <v>11059.84</v>
      </c>
      <c r="J19" s="352" t="s">
        <v>730</v>
      </c>
      <c r="K19" s="352"/>
      <c r="L19" s="352"/>
      <c r="M19" s="352"/>
      <c r="N19" s="352"/>
    </row>
    <row r="20" spans="1:14" x14ac:dyDescent="0.3">
      <c r="B20" s="103"/>
      <c r="C20">
        <f>3.142*5280^2/43560</f>
        <v>2010.8799999999999</v>
      </c>
    </row>
    <row r="21" spans="1:14" ht="76.5" customHeight="1" x14ac:dyDescent="0.3">
      <c r="B21" s="103"/>
      <c r="J21" s="352" t="s">
        <v>731</v>
      </c>
      <c r="K21" s="352"/>
      <c r="L21" s="352"/>
      <c r="M21" s="352"/>
      <c r="N21" s="352"/>
    </row>
    <row r="22" spans="1:14" x14ac:dyDescent="0.3">
      <c r="A22" s="3"/>
      <c r="B22" s="103"/>
      <c r="C22" s="3"/>
    </row>
    <row r="23" spans="1:14" x14ac:dyDescent="0.3">
      <c r="A23" s="4"/>
      <c r="B23" s="103"/>
      <c r="C23" s="106" t="s">
        <v>70</v>
      </c>
      <c r="D23" s="106" t="s">
        <v>608</v>
      </c>
    </row>
    <row r="24" spans="1:14" x14ac:dyDescent="0.3">
      <c r="A24" s="4"/>
      <c r="B24" s="103"/>
      <c r="C24" s="8" t="s">
        <v>77</v>
      </c>
      <c r="D24" s="112" t="s">
        <v>596</v>
      </c>
    </row>
    <row r="25" spans="1:14" x14ac:dyDescent="0.3">
      <c r="A25" s="4"/>
      <c r="B25" s="103"/>
      <c r="C25" s="106" t="s">
        <v>79</v>
      </c>
      <c r="D25" s="103">
        <v>1E-3</v>
      </c>
    </row>
    <row r="26" spans="1:14" x14ac:dyDescent="0.3">
      <c r="B26" s="103"/>
      <c r="C26" s="3" t="s">
        <v>80</v>
      </c>
      <c r="D26" s="103">
        <v>0.01</v>
      </c>
    </row>
    <row r="27" spans="1:14" x14ac:dyDescent="0.3">
      <c r="C27" s="4" t="s">
        <v>78</v>
      </c>
      <c r="D27" s="103">
        <v>0.1</v>
      </c>
    </row>
    <row r="28" spans="1:14" x14ac:dyDescent="0.3">
      <c r="C28" s="4" t="s">
        <v>81</v>
      </c>
      <c r="D28" s="103">
        <v>1</v>
      </c>
    </row>
    <row r="29" spans="1:14" x14ac:dyDescent="0.3">
      <c r="B29" s="104"/>
      <c r="C29" s="4" t="s">
        <v>89</v>
      </c>
      <c r="D29" s="103">
        <v>10</v>
      </c>
    </row>
    <row r="30" spans="1:14" x14ac:dyDescent="0.3">
      <c r="A30" s="66"/>
      <c r="B30" s="104"/>
      <c r="C30" s="106" t="s">
        <v>90</v>
      </c>
      <c r="D30" s="103" t="s">
        <v>626</v>
      </c>
    </row>
    <row r="31" spans="1:14" x14ac:dyDescent="0.3">
      <c r="A31" s="66"/>
      <c r="B31" s="104"/>
    </row>
    <row r="32" spans="1:14" x14ac:dyDescent="0.3">
      <c r="A32" s="66"/>
      <c r="B32" s="104"/>
      <c r="C32" s="8" t="s">
        <v>559</v>
      </c>
      <c r="D32" s="8" t="s">
        <v>560</v>
      </c>
    </row>
    <row r="33" spans="1:4" x14ac:dyDescent="0.3">
      <c r="A33" s="66"/>
      <c r="B33" s="104"/>
      <c r="C33" s="106">
        <v>1000</v>
      </c>
      <c r="D33" s="104">
        <v>19.3</v>
      </c>
    </row>
    <row r="34" spans="1:4" x14ac:dyDescent="0.3">
      <c r="A34" s="66"/>
      <c r="B34" s="104"/>
      <c r="C34" s="66">
        <v>10000</v>
      </c>
      <c r="D34" s="104">
        <v>193</v>
      </c>
    </row>
    <row r="35" spans="1:4" x14ac:dyDescent="0.3">
      <c r="C35" s="66">
        <v>100000</v>
      </c>
      <c r="D35" s="104">
        <v>1930</v>
      </c>
    </row>
    <row r="36" spans="1:4" x14ac:dyDescent="0.3">
      <c r="C36" s="66">
        <v>1000000</v>
      </c>
      <c r="D36" s="104">
        <v>19300</v>
      </c>
    </row>
    <row r="37" spans="1:4" x14ac:dyDescent="0.3">
      <c r="C37" s="66">
        <v>10000000</v>
      </c>
      <c r="D37" s="104">
        <v>193000</v>
      </c>
    </row>
    <row r="38" spans="1:4" x14ac:dyDescent="0.3">
      <c r="C38" s="66">
        <v>100000000</v>
      </c>
      <c r="D38" s="104">
        <v>1930000</v>
      </c>
    </row>
  </sheetData>
  <mergeCells count="3">
    <mergeCell ref="J16:N16"/>
    <mergeCell ref="J19:N19"/>
    <mergeCell ref="J21:N2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38"/>
  <sheetViews>
    <sheetView topLeftCell="A23" workbookViewId="0">
      <selection activeCell="A7" sqref="A7:A28"/>
    </sheetView>
  </sheetViews>
  <sheetFormatPr defaultRowHeight="14.4" x14ac:dyDescent="0.3"/>
  <cols>
    <col min="1" max="1" width="58.88671875" style="80" customWidth="1"/>
    <col min="2" max="5" width="13.6640625" style="109" customWidth="1"/>
    <col min="6" max="6" width="3.5546875" customWidth="1"/>
  </cols>
  <sheetData>
    <row r="1" spans="1:6" s="105" customFormat="1" x14ac:dyDescent="0.3">
      <c r="A1" s="100" t="s">
        <v>682</v>
      </c>
      <c r="B1" s="109"/>
      <c r="C1" s="109"/>
      <c r="D1" s="109"/>
      <c r="E1" s="109"/>
    </row>
    <row r="2" spans="1:6" s="143" customFormat="1" ht="57.6" x14ac:dyDescent="0.3">
      <c r="A2" s="152" t="s">
        <v>693</v>
      </c>
      <c r="B2" s="153"/>
      <c r="C2" s="153"/>
      <c r="D2" s="153"/>
      <c r="E2" s="153"/>
    </row>
    <row r="3" spans="1:6" s="117" customFormat="1" ht="57.6" x14ac:dyDescent="0.3">
      <c r="A3" s="152" t="s">
        <v>699</v>
      </c>
      <c r="B3" s="109"/>
      <c r="C3" s="109"/>
      <c r="D3" s="109"/>
      <c r="E3" s="109"/>
    </row>
    <row r="4" spans="1:6" s="117" customFormat="1" x14ac:dyDescent="0.3">
      <c r="A4" s="100"/>
      <c r="B4" s="109"/>
      <c r="C4" s="109"/>
      <c r="D4" s="109"/>
      <c r="E4" s="109"/>
    </row>
    <row r="5" spans="1:6" s="105" customFormat="1" x14ac:dyDescent="0.3">
      <c r="A5" s="80"/>
      <c r="B5" s="109"/>
      <c r="C5" s="109"/>
      <c r="D5" s="109"/>
      <c r="E5" s="116" t="s">
        <v>609</v>
      </c>
    </row>
    <row r="6" spans="1:6" x14ac:dyDescent="0.3">
      <c r="A6" s="107" t="s">
        <v>590</v>
      </c>
      <c r="B6" s="113" t="s">
        <v>586</v>
      </c>
      <c r="C6" s="113" t="s">
        <v>591</v>
      </c>
      <c r="D6" s="113" t="s">
        <v>587</v>
      </c>
      <c r="E6" s="113" t="s">
        <v>610</v>
      </c>
      <c r="F6" s="87"/>
    </row>
    <row r="7" spans="1:6" x14ac:dyDescent="0.3">
      <c r="A7" s="100" t="s">
        <v>583</v>
      </c>
      <c r="B7" s="151">
        <v>100000</v>
      </c>
      <c r="C7" s="151">
        <v>1000000</v>
      </c>
      <c r="D7" s="151">
        <v>10000000</v>
      </c>
      <c r="E7" s="114"/>
      <c r="F7" s="101"/>
    </row>
    <row r="8" spans="1:6" s="105" customFormat="1" x14ac:dyDescent="0.3">
      <c r="A8" s="100" t="s">
        <v>585</v>
      </c>
      <c r="B8" s="151">
        <v>100000</v>
      </c>
      <c r="C8" s="151">
        <v>1000000</v>
      </c>
      <c r="D8" s="151">
        <v>10000000</v>
      </c>
      <c r="E8" s="114"/>
      <c r="F8" s="101"/>
    </row>
    <row r="9" spans="1:6" s="105" customFormat="1" x14ac:dyDescent="0.3">
      <c r="A9" s="100" t="s">
        <v>574</v>
      </c>
      <c r="B9" s="151">
        <v>1000</v>
      </c>
      <c r="C9" s="151">
        <v>10000</v>
      </c>
      <c r="D9" s="151">
        <v>100000</v>
      </c>
      <c r="E9" s="114"/>
      <c r="F9" s="101"/>
    </row>
    <row r="10" spans="1:6" s="105" customFormat="1" ht="28.8" x14ac:dyDescent="0.3">
      <c r="A10" s="100" t="s">
        <v>579</v>
      </c>
      <c r="B10" s="151">
        <v>1000</v>
      </c>
      <c r="C10" s="151">
        <v>10000</v>
      </c>
      <c r="D10" s="151">
        <v>100000</v>
      </c>
      <c r="E10" s="114"/>
      <c r="F10" s="101"/>
    </row>
    <row r="11" spans="1:6" s="105" customFormat="1" x14ac:dyDescent="0.3">
      <c r="A11" s="100" t="s">
        <v>580</v>
      </c>
      <c r="B11" s="151">
        <v>100</v>
      </c>
      <c r="C11" s="151">
        <v>1000</v>
      </c>
      <c r="D11" s="151">
        <v>10000</v>
      </c>
      <c r="E11" s="114"/>
      <c r="F11" s="101"/>
    </row>
    <row r="12" spans="1:6" x14ac:dyDescent="0.3">
      <c r="A12" s="100" t="s">
        <v>582</v>
      </c>
      <c r="B12" s="151">
        <v>10000</v>
      </c>
      <c r="C12" s="151">
        <v>100000</v>
      </c>
      <c r="D12" s="151">
        <v>1000000</v>
      </c>
      <c r="E12" s="114"/>
      <c r="F12" s="101"/>
    </row>
    <row r="13" spans="1:6" x14ac:dyDescent="0.3">
      <c r="A13" s="100" t="s">
        <v>584</v>
      </c>
      <c r="B13" s="151">
        <v>1000000</v>
      </c>
      <c r="C13" s="151">
        <v>3000000</v>
      </c>
      <c r="D13" s="151">
        <v>10000000</v>
      </c>
      <c r="E13" s="114"/>
      <c r="F13" s="101"/>
    </row>
    <row r="14" spans="1:6" s="105" customFormat="1" ht="28.8" x14ac:dyDescent="0.3">
      <c r="A14" s="100" t="s">
        <v>573</v>
      </c>
      <c r="B14" s="151">
        <v>1000000</v>
      </c>
      <c r="C14" s="151">
        <v>3000000</v>
      </c>
      <c r="D14" s="151">
        <v>10000000</v>
      </c>
      <c r="E14" s="114"/>
      <c r="F14" s="101"/>
    </row>
    <row r="15" spans="1:6" s="105" customFormat="1" x14ac:dyDescent="0.3">
      <c r="A15" s="100" t="s">
        <v>575</v>
      </c>
      <c r="B15" s="151">
        <v>10000</v>
      </c>
      <c r="C15" s="151">
        <v>100000</v>
      </c>
      <c r="D15" s="151">
        <v>1000000</v>
      </c>
      <c r="E15" s="114"/>
      <c r="F15" s="101"/>
    </row>
    <row r="16" spans="1:6" ht="28.8" x14ac:dyDescent="0.3">
      <c r="A16" s="100" t="s">
        <v>581</v>
      </c>
      <c r="B16" s="151">
        <v>10000</v>
      </c>
      <c r="C16" s="151">
        <v>100000</v>
      </c>
      <c r="D16" s="151">
        <v>1000000</v>
      </c>
      <c r="E16" s="114"/>
      <c r="F16" s="101"/>
    </row>
    <row r="17" spans="1:6" x14ac:dyDescent="0.3">
      <c r="A17" s="100" t="s">
        <v>576</v>
      </c>
      <c r="B17" s="151">
        <v>10000</v>
      </c>
      <c r="C17" s="151">
        <v>100000</v>
      </c>
      <c r="D17" s="151">
        <v>1000000</v>
      </c>
      <c r="E17" s="114"/>
      <c r="F17" s="101"/>
    </row>
    <row r="18" spans="1:6" x14ac:dyDescent="0.3">
      <c r="A18" s="100" t="s">
        <v>578</v>
      </c>
      <c r="B18" s="151">
        <v>100000</v>
      </c>
      <c r="C18" s="151">
        <v>1000000</v>
      </c>
      <c r="D18" s="151">
        <v>10000000</v>
      </c>
      <c r="E18" s="114"/>
      <c r="F18" s="101"/>
    </row>
    <row r="19" spans="1:6" s="105" customFormat="1" x14ac:dyDescent="0.3">
      <c r="A19" s="100" t="s">
        <v>577</v>
      </c>
      <c r="B19" s="151">
        <v>100000</v>
      </c>
      <c r="C19" s="151">
        <v>1000000</v>
      </c>
      <c r="D19" s="151">
        <v>10000000</v>
      </c>
      <c r="E19" s="114"/>
      <c r="F19" s="101"/>
    </row>
    <row r="20" spans="1:6" x14ac:dyDescent="0.3">
      <c r="A20" s="100" t="s">
        <v>572</v>
      </c>
      <c r="B20" s="151">
        <v>100000</v>
      </c>
      <c r="C20" s="151">
        <v>1000000</v>
      </c>
      <c r="D20" s="151">
        <v>10000000</v>
      </c>
      <c r="E20" s="114"/>
      <c r="F20" s="101"/>
    </row>
    <row r="21" spans="1:6" x14ac:dyDescent="0.3">
      <c r="A21" s="100" t="s">
        <v>588</v>
      </c>
      <c r="B21" s="151">
        <v>100000</v>
      </c>
      <c r="C21" s="151">
        <v>1000000</v>
      </c>
      <c r="D21" s="151">
        <v>10000000</v>
      </c>
      <c r="E21" s="114"/>
      <c r="F21" s="101"/>
    </row>
    <row r="22" spans="1:6" s="117" customFormat="1" x14ac:dyDescent="0.3">
      <c r="A22" s="120" t="s">
        <v>614</v>
      </c>
      <c r="B22" s="151">
        <v>1000000</v>
      </c>
      <c r="C22" s="151">
        <v>10000000</v>
      </c>
      <c r="D22" s="151">
        <v>100000000</v>
      </c>
      <c r="E22" s="114"/>
      <c r="F22" s="101"/>
    </row>
    <row r="23" spans="1:6" s="117" customFormat="1" x14ac:dyDescent="0.3">
      <c r="A23" s="120" t="s">
        <v>615</v>
      </c>
      <c r="B23" s="151">
        <v>1000</v>
      </c>
      <c r="C23" s="151">
        <v>10000</v>
      </c>
      <c r="D23" s="151">
        <v>100000</v>
      </c>
      <c r="E23" s="114"/>
      <c r="F23" s="101"/>
    </row>
    <row r="24" spans="1:6" s="117" customFormat="1" x14ac:dyDescent="0.3">
      <c r="A24" s="120" t="s">
        <v>623</v>
      </c>
      <c r="B24" s="151">
        <v>100000</v>
      </c>
      <c r="C24" s="151">
        <v>1000000</v>
      </c>
      <c r="D24" s="151">
        <v>10000000</v>
      </c>
      <c r="E24" s="114"/>
      <c r="F24" s="101"/>
    </row>
    <row r="25" spans="1:6" s="117" customFormat="1" x14ac:dyDescent="0.3">
      <c r="A25" s="121" t="s">
        <v>616</v>
      </c>
      <c r="B25" s="124" t="s">
        <v>621</v>
      </c>
      <c r="C25" s="122"/>
      <c r="D25" s="122"/>
      <c r="E25" s="122"/>
      <c r="F25" s="123"/>
    </row>
    <row r="26" spans="1:6" s="117" customFormat="1" x14ac:dyDescent="0.3">
      <c r="A26" s="121" t="s">
        <v>617</v>
      </c>
      <c r="B26" s="124" t="s">
        <v>621</v>
      </c>
      <c r="C26" s="122"/>
      <c r="D26" s="122"/>
      <c r="E26" s="122"/>
      <c r="F26" s="123"/>
    </row>
    <row r="27" spans="1:6" s="117" customFormat="1" x14ac:dyDescent="0.3">
      <c r="A27" s="121" t="s">
        <v>618</v>
      </c>
      <c r="B27" s="124" t="s">
        <v>622</v>
      </c>
      <c r="C27" s="122"/>
      <c r="D27" s="122"/>
      <c r="E27" s="122"/>
      <c r="F27" s="123"/>
    </row>
    <row r="28" spans="1:6" s="117" customFormat="1" x14ac:dyDescent="0.3">
      <c r="A28" s="120" t="s">
        <v>619</v>
      </c>
      <c r="B28" s="151">
        <v>10000</v>
      </c>
      <c r="C28" s="151">
        <v>100000</v>
      </c>
      <c r="D28" s="151">
        <v>1000000</v>
      </c>
      <c r="E28" s="114"/>
      <c r="F28" s="101"/>
    </row>
    <row r="29" spans="1:6" s="117" customFormat="1" x14ac:dyDescent="0.3">
      <c r="A29" s="121" t="s">
        <v>624</v>
      </c>
      <c r="B29" s="124" t="s">
        <v>622</v>
      </c>
      <c r="C29" s="122"/>
      <c r="D29" s="122"/>
      <c r="E29" s="122"/>
      <c r="F29" s="123"/>
    </row>
    <row r="30" spans="1:6" s="117" customFormat="1" x14ac:dyDescent="0.3">
      <c r="A30" s="121" t="s">
        <v>620</v>
      </c>
      <c r="B30" s="124" t="s">
        <v>622</v>
      </c>
      <c r="C30" s="122"/>
      <c r="D30" s="122"/>
      <c r="E30" s="122"/>
      <c r="F30" s="123"/>
    </row>
    <row r="31" spans="1:6" x14ac:dyDescent="0.3">
      <c r="A31" s="107"/>
      <c r="B31" s="115"/>
      <c r="C31" s="115"/>
      <c r="D31" s="115"/>
      <c r="E31" s="115"/>
      <c r="F31" s="101"/>
    </row>
    <row r="32" spans="1:6" x14ac:dyDescent="0.3">
      <c r="A32" s="100" t="s">
        <v>589</v>
      </c>
      <c r="B32" s="150">
        <f>SUM(B7:B31)</f>
        <v>3753100</v>
      </c>
      <c r="C32" s="150">
        <f t="shared" ref="C32:D32" si="0">SUM(C7:C31)</f>
        <v>23531000</v>
      </c>
      <c r="D32" s="150">
        <f t="shared" si="0"/>
        <v>195310000</v>
      </c>
      <c r="E32" s="114"/>
    </row>
    <row r="34" spans="1:1" ht="43.2" x14ac:dyDescent="0.3">
      <c r="A34" s="80" t="s">
        <v>592</v>
      </c>
    </row>
    <row r="36" spans="1:1" ht="43.2" x14ac:dyDescent="0.3">
      <c r="A36" s="80" t="s">
        <v>593</v>
      </c>
    </row>
    <row r="38" spans="1:1" ht="86.4" x14ac:dyDescent="0.3">
      <c r="A38" s="80" t="s">
        <v>594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vt:i4>
      </vt:variant>
    </vt:vector>
  </HeadingPairs>
  <TitlesOfParts>
    <vt:vector size="17" baseType="lpstr">
      <vt:lpstr>Instructions</vt:lpstr>
      <vt:lpstr>Safety - Surface Release</vt:lpstr>
      <vt:lpstr>Safety - SurfaceFire Calc</vt:lpstr>
      <vt:lpstr>Safety - SubSurface Release</vt:lpstr>
      <vt:lpstr>Safety - SubSurface ReleaseCalc</vt:lpstr>
      <vt:lpstr> Safety-Subsurf-Rls AltDist</vt:lpstr>
      <vt:lpstr>Environmental</vt:lpstr>
      <vt:lpstr>Environmental COFcalc</vt:lpstr>
      <vt:lpstr>Svc-Reliability-Financ COFcalc</vt:lpstr>
      <vt:lpstr>Notes on TP +SSSV Risk Analysis</vt:lpstr>
      <vt:lpstr>COFCases-Base Expls-TP+SSSV</vt:lpstr>
      <vt:lpstr>COFCases-BaseExRiskRed-TP+SSSV</vt:lpstr>
      <vt:lpstr>COFCases-InvertedEx-TP+SSSV</vt:lpstr>
      <vt:lpstr>COFCase-InvertExRiskRed-TP+SSSV</vt:lpstr>
      <vt:lpstr>COFCases-MixedExpls-TP+SSSV</vt:lpstr>
      <vt:lpstr>COFCases-MixedExRiskRed-TP+SSSV</vt:lpstr>
      <vt:lpstr>Environmental!_Toc374453103</vt:lpstr>
    </vt:vector>
  </TitlesOfParts>
  <Company>TransCanada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Stephen Nowaczewski</dc:creator>
  <cp:lastModifiedBy>17349</cp:lastModifiedBy>
  <dcterms:created xsi:type="dcterms:W3CDTF">2017-02-20T00:18:18Z</dcterms:created>
  <dcterms:modified xsi:type="dcterms:W3CDTF">2020-10-13T12:26:42Z</dcterms:modified>
</cp:coreProperties>
</file>